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</sheets>
  <calcPr calcId="124519"/>
</workbook>
</file>

<file path=xl/calcChain.xml><?xml version="1.0" encoding="utf-8"?>
<calcChain xmlns="http://schemas.openxmlformats.org/spreadsheetml/2006/main">
  <c r="Q14" i="19"/>
  <c r="Q12"/>
  <c r="Q11"/>
  <c r="Q10"/>
  <c r="Q9"/>
  <c r="Q8"/>
  <c r="B12"/>
  <c r="B11"/>
  <c r="B10"/>
  <c r="B9"/>
  <c r="B8"/>
  <c r="F12"/>
  <c r="F11"/>
  <c r="F10"/>
  <c r="F9"/>
  <c r="F8"/>
  <c r="L12"/>
  <c r="L11"/>
  <c r="L10"/>
  <c r="L9"/>
  <c r="L8"/>
  <c r="H12" i="18"/>
  <c r="E10" i="17"/>
  <c r="F10" s="1"/>
  <c r="C10" i="16" s="1"/>
  <c r="D10" s="1"/>
  <c r="E5" i="17"/>
  <c r="F5" s="1"/>
  <c r="E6"/>
  <c r="F6" s="1"/>
  <c r="E7"/>
  <c r="F7" s="1"/>
  <c r="C7" i="16" s="1"/>
  <c r="D7" s="1"/>
  <c r="E8" i="17"/>
  <c r="F8" s="1"/>
  <c r="C8" i="16" s="1"/>
  <c r="D8" s="1"/>
  <c r="E9" i="17"/>
  <c r="F9" s="1"/>
  <c r="C9" i="16" s="1"/>
  <c r="D9" s="1"/>
  <c r="H29"/>
  <c r="P6"/>
  <c r="P7"/>
  <c r="P8"/>
  <c r="P10"/>
  <c r="P5"/>
  <c r="P9"/>
  <c r="K9"/>
  <c r="B12" i="18"/>
  <c r="F10"/>
  <c r="G10" s="1"/>
  <c r="E12"/>
  <c r="F6"/>
  <c r="G6" s="1"/>
  <c r="F7"/>
  <c r="G7" s="1"/>
  <c r="S9" i="19" s="1"/>
  <c r="F8" i="18"/>
  <c r="G8" s="1"/>
  <c r="K5" i="16"/>
  <c r="B29"/>
  <c r="F10" i="21"/>
  <c r="D10"/>
  <c r="B10"/>
  <c r="C8"/>
  <c r="O29" i="16"/>
  <c r="X5"/>
  <c r="X6"/>
  <c r="X7"/>
  <c r="X8"/>
  <c r="X9"/>
  <c r="X10"/>
  <c r="F9" i="18"/>
  <c r="G9" s="1"/>
  <c r="F5"/>
  <c r="G5" s="1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Q9" i="16" l="1"/>
  <c r="Q5"/>
  <c r="C6"/>
  <c r="D6" s="1"/>
  <c r="I6" i="18"/>
  <c r="O8" i="19" s="1"/>
  <c r="L9" i="16"/>
  <c r="M9" s="1"/>
  <c r="L5"/>
  <c r="M5" s="1"/>
  <c r="P29"/>
  <c r="Q29" s="1"/>
  <c r="E12" i="17"/>
  <c r="H12" i="19"/>
  <c r="N12"/>
  <c r="S12"/>
  <c r="N9"/>
  <c r="H9"/>
  <c r="S8"/>
  <c r="N8"/>
  <c r="H8"/>
  <c r="I7" i="18"/>
  <c r="T9" i="19" s="1"/>
  <c r="I10" i="18"/>
  <c r="O12" i="19" s="1"/>
  <c r="C12" i="18"/>
  <c r="I8"/>
  <c r="I12"/>
  <c r="J14" i="19" s="1"/>
  <c r="I9" i="18"/>
  <c r="F12"/>
  <c r="G12" s="1"/>
  <c r="N14" i="19" s="1"/>
  <c r="I5" i="18"/>
  <c r="N11" i="19"/>
  <c r="S11"/>
  <c r="H11"/>
  <c r="N10"/>
  <c r="H10"/>
  <c r="S10"/>
  <c r="F12" i="17"/>
  <c r="C5" i="16"/>
  <c r="N7" i="19"/>
  <c r="S7"/>
  <c r="H7"/>
  <c r="T8" l="1"/>
  <c r="J8"/>
  <c r="J9"/>
  <c r="O9"/>
  <c r="P9" s="1"/>
  <c r="J12"/>
  <c r="T12"/>
  <c r="J11"/>
  <c r="O11"/>
  <c r="P11" s="1"/>
  <c r="T11"/>
  <c r="H14"/>
  <c r="K14" s="1"/>
  <c r="S14"/>
  <c r="O7"/>
  <c r="P7" s="1"/>
  <c r="J7"/>
  <c r="D6" i="18"/>
  <c r="D9"/>
  <c r="D8"/>
  <c r="D5"/>
  <c r="D10"/>
  <c r="D7"/>
  <c r="O10" i="19"/>
  <c r="P10" s="1"/>
  <c r="J10"/>
  <c r="T10"/>
  <c r="T7"/>
  <c r="P14"/>
  <c r="P8"/>
  <c r="P12"/>
  <c r="C29" i="16"/>
  <c r="D29" s="1"/>
  <c r="D5"/>
  <c r="U8" i="19" l="1"/>
  <c r="U7"/>
  <c r="U11"/>
  <c r="U10"/>
  <c r="U12"/>
  <c r="I11"/>
  <c r="K11" s="1"/>
  <c r="D11"/>
  <c r="E11" s="1"/>
  <c r="I8"/>
  <c r="K8" s="1"/>
  <c r="D8"/>
  <c r="E8" s="1"/>
  <c r="I7"/>
  <c r="K7" s="1"/>
  <c r="D7"/>
  <c r="E7" s="1"/>
  <c r="I10"/>
  <c r="K10" s="1"/>
  <c r="D10"/>
  <c r="E10" s="1"/>
  <c r="D12"/>
  <c r="E12" s="1"/>
  <c r="I12"/>
  <c r="K12" s="1"/>
  <c r="D9"/>
  <c r="E9" s="1"/>
  <c r="I9"/>
  <c r="K9" s="1"/>
  <c r="U14"/>
  <c r="V14" s="1"/>
  <c r="U9"/>
  <c r="E5" i="16"/>
  <c r="E23"/>
  <c r="G23" s="1"/>
  <c r="I23" s="1"/>
  <c r="K23" s="1"/>
  <c r="E13"/>
  <c r="G13" s="1"/>
  <c r="I13" s="1"/>
  <c r="K13" s="1"/>
  <c r="E11"/>
  <c r="G11" s="1"/>
  <c r="I11" s="1"/>
  <c r="K11" s="1"/>
  <c r="E18"/>
  <c r="G18" s="1"/>
  <c r="I18" s="1"/>
  <c r="K18" s="1"/>
  <c r="E25"/>
  <c r="G25" s="1"/>
  <c r="I25" s="1"/>
  <c r="K25" s="1"/>
  <c r="E17"/>
  <c r="G17" s="1"/>
  <c r="I17" s="1"/>
  <c r="K17" s="1"/>
  <c r="E21"/>
  <c r="G21" s="1"/>
  <c r="I21" s="1"/>
  <c r="K21" s="1"/>
  <c r="E22"/>
  <c r="G22" s="1"/>
  <c r="I22" s="1"/>
  <c r="K22" s="1"/>
  <c r="E19"/>
  <c r="G19" s="1"/>
  <c r="I19" s="1"/>
  <c r="K19" s="1"/>
  <c r="E29"/>
  <c r="G29" s="1"/>
  <c r="E12"/>
  <c r="G12" s="1"/>
  <c r="I12" s="1"/>
  <c r="K12" s="1"/>
  <c r="E28"/>
  <c r="G28" s="1"/>
  <c r="I28" s="1"/>
  <c r="K28" s="1"/>
  <c r="E24"/>
  <c r="G24" s="1"/>
  <c r="I24" s="1"/>
  <c r="K24" s="1"/>
  <c r="E15"/>
  <c r="G15" s="1"/>
  <c r="I15" s="1"/>
  <c r="K15" s="1"/>
  <c r="E14"/>
  <c r="G14" s="1"/>
  <c r="I14" s="1"/>
  <c r="K14" s="1"/>
  <c r="E27"/>
  <c r="G27" s="1"/>
  <c r="I27" s="1"/>
  <c r="K27" s="1"/>
  <c r="E26"/>
  <c r="G26" s="1"/>
  <c r="I26" s="1"/>
  <c r="K26" s="1"/>
  <c r="E16"/>
  <c r="G16" s="1"/>
  <c r="I16" s="1"/>
  <c r="K16" s="1"/>
  <c r="E20"/>
  <c r="G20" s="1"/>
  <c r="I20" s="1"/>
  <c r="K20" s="1"/>
  <c r="E7"/>
  <c r="E9"/>
  <c r="E10"/>
  <c r="E8"/>
  <c r="E6"/>
  <c r="V7" i="19" l="1"/>
  <c r="F5" i="16" s="1"/>
  <c r="G5" s="1"/>
  <c r="V11" i="19"/>
  <c r="F9" i="16" s="1"/>
  <c r="G9" s="1"/>
  <c r="V8" i="19"/>
  <c r="F6" i="16" s="1"/>
  <c r="G6" s="1"/>
  <c r="I6" s="1"/>
  <c r="V10" i="19"/>
  <c r="F8" i="16" s="1"/>
  <c r="G8" s="1"/>
  <c r="V12" i="19"/>
  <c r="F10" i="16" s="1"/>
  <c r="G10" s="1"/>
  <c r="I10" s="1"/>
  <c r="V9" i="19"/>
  <c r="F7" i="16" s="1"/>
  <c r="G7" s="1"/>
  <c r="L20"/>
  <c r="M20" s="1"/>
  <c r="Q20"/>
  <c r="L12"/>
  <c r="M12" s="1"/>
  <c r="Q12"/>
  <c r="L28"/>
  <c r="M28" s="1"/>
  <c r="Q28"/>
  <c r="L14"/>
  <c r="M14" s="1"/>
  <c r="Q14"/>
  <c r="L13"/>
  <c r="M13" s="1"/>
  <c r="Q13"/>
  <c r="L15"/>
  <c r="M15" s="1"/>
  <c r="Q15"/>
  <c r="Q16"/>
  <c r="L16"/>
  <c r="M16" s="1"/>
  <c r="L23"/>
  <c r="M23" s="1"/>
  <c r="Q23"/>
  <c r="L24"/>
  <c r="M24" s="1"/>
  <c r="Q24"/>
  <c r="L25"/>
  <c r="M25" s="1"/>
  <c r="Q25"/>
  <c r="L26"/>
  <c r="M26" s="1"/>
  <c r="Q26"/>
  <c r="Q27"/>
  <c r="L27"/>
  <c r="M27" s="1"/>
  <c r="Q19"/>
  <c r="L19"/>
  <c r="M19" s="1"/>
  <c r="L22"/>
  <c r="M22" s="1"/>
  <c r="Q22"/>
  <c r="L21"/>
  <c r="M21" s="1"/>
  <c r="Q21"/>
  <c r="L17"/>
  <c r="M17" s="1"/>
  <c r="Q17"/>
  <c r="L18"/>
  <c r="M18" s="1"/>
  <c r="Q18"/>
  <c r="L11"/>
  <c r="M11" s="1"/>
  <c r="Q11"/>
  <c r="I7" l="1"/>
  <c r="K7" s="1"/>
  <c r="K6"/>
  <c r="Q6" s="1"/>
  <c r="I8"/>
  <c r="K8" s="1"/>
  <c r="Q7" l="1"/>
  <c r="L7"/>
  <c r="M7" s="1"/>
  <c r="Q8"/>
  <c r="L8"/>
  <c r="M8" s="1"/>
  <c r="I29"/>
  <c r="L6"/>
  <c r="M6" s="1"/>
  <c r="K10"/>
  <c r="Q10" l="1"/>
  <c r="K29"/>
  <c r="L10"/>
  <c r="M10" s="1"/>
  <c r="L29" l="1"/>
  <c r="M29" s="1"/>
  <c r="N24" s="1"/>
  <c r="S24" s="1"/>
  <c r="N26" l="1"/>
  <c r="S26" s="1"/>
  <c r="N27"/>
  <c r="S27" s="1"/>
  <c r="N7"/>
  <c r="S7" s="1"/>
  <c r="N22"/>
  <c r="S22" s="1"/>
  <c r="N19"/>
  <c r="S19" s="1"/>
  <c r="N18"/>
  <c r="S18" s="1"/>
  <c r="N5"/>
  <c r="N23"/>
  <c r="S23" s="1"/>
  <c r="N15"/>
  <c r="S15" s="1"/>
  <c r="N6"/>
  <c r="S6" s="1"/>
  <c r="N13"/>
  <c r="S13" s="1"/>
  <c r="N12"/>
  <c r="S12" s="1"/>
  <c r="N21"/>
  <c r="S21" s="1"/>
  <c r="N25"/>
  <c r="S25" s="1"/>
  <c r="N8"/>
  <c r="S8" s="1"/>
  <c r="N20"/>
  <c r="S20" s="1"/>
  <c r="N14"/>
  <c r="S14" s="1"/>
  <c r="N28"/>
  <c r="S28" s="1"/>
  <c r="N17"/>
  <c r="S17" s="1"/>
  <c r="N11"/>
  <c r="S11" s="1"/>
  <c r="N9"/>
  <c r="N16"/>
  <c r="S16" s="1"/>
  <c r="N10"/>
  <c r="S10" s="1"/>
  <c r="S29" l="1"/>
  <c r="U23" s="1"/>
  <c r="V23" s="1"/>
  <c r="W23" s="1"/>
  <c r="U19" l="1"/>
  <c r="V19" s="1"/>
  <c r="W19" s="1"/>
  <c r="U21"/>
  <c r="V21" s="1"/>
  <c r="W21" s="1"/>
  <c r="U6"/>
  <c r="V6" s="1"/>
  <c r="W6" s="1"/>
  <c r="U27"/>
  <c r="V27" s="1"/>
  <c r="W27" s="1"/>
  <c r="U5"/>
  <c r="U25"/>
  <c r="V25" s="1"/>
  <c r="W25" s="1"/>
  <c r="U15"/>
  <c r="V15" s="1"/>
  <c r="W15" s="1"/>
  <c r="U7"/>
  <c r="U18"/>
  <c r="V18" s="1"/>
  <c r="W18" s="1"/>
  <c r="U24"/>
  <c r="V24" s="1"/>
  <c r="W24" s="1"/>
  <c r="U11"/>
  <c r="V11" s="1"/>
  <c r="W11" s="1"/>
  <c r="U8"/>
  <c r="V8" s="1"/>
  <c r="U9"/>
  <c r="V9" s="1"/>
  <c r="W9" s="1"/>
  <c r="U16"/>
  <c r="V16" s="1"/>
  <c r="W16" s="1"/>
  <c r="U12"/>
  <c r="V12" s="1"/>
  <c r="W12" s="1"/>
  <c r="U10"/>
  <c r="V10" s="1"/>
  <c r="U22"/>
  <c r="V22" s="1"/>
  <c r="W22" s="1"/>
  <c r="U13"/>
  <c r="V13" s="1"/>
  <c r="W13" s="1"/>
  <c r="U17"/>
  <c r="V17" s="1"/>
  <c r="W17" s="1"/>
  <c r="U28"/>
  <c r="V28" s="1"/>
  <c r="W28" s="1"/>
  <c r="U20"/>
  <c r="V20" s="1"/>
  <c r="W20" s="1"/>
  <c r="U14"/>
  <c r="V14" s="1"/>
  <c r="W14" s="1"/>
  <c r="U26"/>
  <c r="V26" s="1"/>
  <c r="W26" s="1"/>
  <c r="W10" l="1"/>
  <c r="AC6"/>
  <c r="V5"/>
  <c r="W5" s="1"/>
  <c r="U29"/>
  <c r="V29" s="1"/>
  <c r="W7"/>
  <c r="AC7"/>
  <c r="AC8"/>
  <c r="W8"/>
  <c r="AC29" l="1"/>
  <c r="W29"/>
</calcChain>
</file>

<file path=xl/sharedStrings.xml><?xml version="1.0" encoding="utf-8"?>
<sst xmlns="http://schemas.openxmlformats.org/spreadsheetml/2006/main" count="165" uniqueCount="87">
  <si>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</si>
  <si>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</si>
  <si>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</si>
  <si>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</si>
  <si>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</si>
  <si>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</si>
  <si>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</si>
  <si>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</si>
  <si>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</si>
  <si>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</si>
  <si>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</si>
  <si>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</si>
  <si>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</si>
  <si>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</si>
  <si>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</si>
  <si>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</si>
  <si>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</si>
  <si>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</si>
  <si>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</si>
  <si>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</si>
  <si>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</si>
  <si>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</si>
  <si>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</si>
  <si>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</si>
  <si>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</si>
  <si>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</si>
  <si>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</si>
  <si>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</si>
  <si>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</si>
  <si>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</si>
  <si>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</si>
  <si>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</si>
  <si>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</si>
  <si>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</si>
  <si>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</si>
  <si>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</si>
  <si>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</si>
  <si>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</si>
  <si>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</si>
  <si>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</si>
  <si>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</si>
  <si>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</si>
  <si>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</si>
  <si>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</si>
  <si>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</si>
  <si>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</si>
  <si>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</si>
  <si>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</si>
  <si>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</si>
  <si>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</si>
  <si>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</si>
  <si>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</si>
  <si>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</si>
  <si>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</si>
  <si>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</si>
  <si>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</si>
  <si>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</si>
  <si>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</si>
  <si>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</si>
  <si>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</si>
  <si>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</si>
  <si>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</si>
  <si>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</si>
  <si>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</si>
  <si>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</si>
  <si>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</si>
  <si>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</si>
  <si>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</si>
  <si>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</si>
  <si>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</si>
  <si>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</si>
  <si>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</si>
  <si>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</si>
  <si>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</si>
  <si>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>Численность населения на 01.01.24 (тыс.чел.)</t>
  </si>
  <si>
    <t>Численность постоянного населения поселения на 01.01.2024г.  (тыс.чел.)</t>
  </si>
  <si>
    <t>Численность населения на 01.01.2024 г., тыс.человек</t>
  </si>
  <si>
    <t xml:space="preserve">Расчёт дотации на выравнивание бюджетной обеспеченности на 2027 год  </t>
  </si>
  <si>
    <t>Налоговый потенциал на 2027 год по поселениям (тыс.руб.)</t>
  </si>
  <si>
    <t>Расчёт налогового потенциала на 2027 год</t>
  </si>
  <si>
    <t>Налоговый потенциал на 2027 год по поселениям, расчитанный по формуле(тыс.руб.)</t>
  </si>
  <si>
    <t>Расчёт  коэффициентов удорожания, применяемых для расчета индекса бюджетных расходов на 2027 год</t>
  </si>
  <si>
    <t>Расчёт индекса бюджетных расходов поселений на 2027 год</t>
  </si>
  <si>
    <t>Расчет дотаций на выравнивание  бюджетной обеспеченности поселений Тереньгульского района за счет субвенций из областного бюджета на 2027 год</t>
  </si>
  <si>
    <t>Сумма субвенций к распределению  на 2027 год</t>
  </si>
  <si>
    <t xml:space="preserve">Сумма дотаций на выравнивание бюджетной обеспеченности поселений на 2027 год </t>
  </si>
  <si>
    <t>Всего субвенций на осуществление органами местного самоуправления государственных полномочий по расчету и предоставлению дотаций поселениям на 2027 год - 9707400 рублей, в том числе 3245 рублей на осуществление расчета (2950 рублей на доплату к з\плате с начислениями и 295 рублей на материальные затраты)</t>
  </si>
</sst>
</file>

<file path=xl/styles.xml><?xml version="1.0" encoding="utf-8"?>
<styleSheet xmlns="http://schemas.openxmlformats.org/spreadsheetml/2006/main">
  <numFmts count="8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"/>
    <numFmt numFmtId="171" formatCode="#.##"/>
  </numFmts>
  <fonts count="25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/>
    <xf numFmtId="165" fontId="8" fillId="0" borderId="1" xfId="0" applyNumberFormat="1" applyFont="1" applyBorder="1"/>
    <xf numFmtId="14" fontId="8" fillId="0" borderId="0" xfId="0" applyNumberFormat="1" applyFont="1"/>
    <xf numFmtId="168" fontId="8" fillId="0" borderId="0" xfId="0" applyNumberFormat="1" applyFont="1"/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11" fillId="0" borderId="0" xfId="0" applyNumberFormat="1" applyFont="1"/>
    <xf numFmtId="0" fontId="11" fillId="0" borderId="0" xfId="0" applyFont="1"/>
    <xf numFmtId="0" fontId="11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0" fontId="8" fillId="0" borderId="0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165" fontId="8" fillId="0" borderId="1" xfId="0" applyNumberFormat="1" applyFont="1" applyFill="1" applyBorder="1"/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/>
    <xf numFmtId="164" fontId="9" fillId="0" borderId="1" xfId="0" applyNumberFormat="1" applyFont="1" applyFill="1" applyBorder="1"/>
    <xf numFmtId="165" fontId="9" fillId="0" borderId="1" xfId="0" applyNumberFormat="1" applyFont="1" applyFill="1" applyBorder="1"/>
    <xf numFmtId="165" fontId="12" fillId="0" borderId="1" xfId="0" applyNumberFormat="1" applyFont="1" applyFill="1" applyBorder="1"/>
    <xf numFmtId="14" fontId="8" fillId="0" borderId="0" xfId="0" applyNumberFormat="1" applyFont="1" applyFill="1"/>
    <xf numFmtId="0" fontId="8" fillId="0" borderId="0" xfId="0" applyFont="1" applyFill="1"/>
    <xf numFmtId="165" fontId="8" fillId="0" borderId="0" xfId="0" applyNumberFormat="1" applyFont="1" applyFill="1"/>
    <xf numFmtId="165" fontId="0" fillId="0" borderId="0" xfId="0" applyNumberFormat="1" applyFill="1"/>
    <xf numFmtId="0" fontId="0" fillId="0" borderId="0" xfId="0" applyFill="1" applyAlignment="1"/>
    <xf numFmtId="0" fontId="0" fillId="0" borderId="3" xfId="0" applyFill="1" applyBorder="1" applyAlignment="1"/>
    <xf numFmtId="0" fontId="0" fillId="0" borderId="0" xfId="0" applyFill="1" applyBorder="1" applyAlignment="1"/>
    <xf numFmtId="164" fontId="0" fillId="0" borderId="0" xfId="0" applyNumberFormat="1"/>
    <xf numFmtId="0" fontId="0" fillId="0" borderId="0" xfId="0" applyFill="1" applyBorder="1"/>
    <xf numFmtId="0" fontId="15" fillId="0" borderId="0" xfId="0" applyFont="1" applyFill="1" applyBorder="1"/>
    <xf numFmtId="2" fontId="0" fillId="0" borderId="0" xfId="0" applyNumberFormat="1" applyFill="1" applyBorder="1"/>
    <xf numFmtId="0" fontId="18" fillId="0" borderId="0" xfId="0" applyFont="1" applyFill="1" applyBorder="1"/>
    <xf numFmtId="165" fontId="0" fillId="0" borderId="0" xfId="0" applyNumberFormat="1"/>
    <xf numFmtId="0" fontId="0" fillId="2" borderId="0" xfId="0" applyFill="1"/>
    <xf numFmtId="2" fontId="8" fillId="0" borderId="0" xfId="0" applyNumberFormat="1" applyFont="1"/>
    <xf numFmtId="164" fontId="8" fillId="2" borderId="1" xfId="0" applyNumberFormat="1" applyFont="1" applyFill="1" applyBorder="1"/>
    <xf numFmtId="164" fontId="8" fillId="0" borderId="0" xfId="0" applyNumberFormat="1" applyFont="1"/>
    <xf numFmtId="2" fontId="8" fillId="2" borderId="1" xfId="0" applyNumberFormat="1" applyFont="1" applyFill="1" applyBorder="1"/>
    <xf numFmtId="0" fontId="19" fillId="2" borderId="1" xfId="0" applyFont="1" applyFill="1" applyBorder="1"/>
    <xf numFmtId="165" fontId="8" fillId="2" borderId="1" xfId="0" applyNumberFormat="1" applyFont="1" applyFill="1" applyBorder="1"/>
    <xf numFmtId="0" fontId="21" fillId="2" borderId="1" xfId="0" applyFont="1" applyFill="1" applyBorder="1"/>
    <xf numFmtId="0" fontId="8" fillId="2" borderId="1" xfId="0" applyFont="1" applyFill="1" applyBorder="1"/>
    <xf numFmtId="2" fontId="8" fillId="2" borderId="1" xfId="0" applyNumberFormat="1" applyFont="1" applyFill="1" applyBorder="1" applyAlignment="1">
      <alignment horizontal="right" vertical="center" wrapText="1"/>
    </xf>
    <xf numFmtId="165" fontId="14" fillId="2" borderId="1" xfId="0" applyNumberFormat="1" applyFont="1" applyFill="1" applyBorder="1"/>
    <xf numFmtId="0" fontId="13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2" fillId="2" borderId="0" xfId="0" applyFont="1" applyFill="1"/>
    <xf numFmtId="0" fontId="1" fillId="2" borderId="0" xfId="0" applyNumberFormat="1" applyFont="1" applyFill="1" applyAlignment="1"/>
    <xf numFmtId="0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justify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justify" wrapText="1"/>
    </xf>
    <xf numFmtId="0" fontId="3" fillId="2" borderId="3" xfId="0" applyFont="1" applyFill="1" applyBorder="1" applyAlignment="1">
      <alignment horizontal="center" vertical="justify" wrapText="1"/>
    </xf>
    <xf numFmtId="0" fontId="3" fillId="2" borderId="0" xfId="0" applyFont="1" applyFill="1" applyBorder="1" applyAlignment="1">
      <alignment horizontal="center" vertical="justify" wrapText="1"/>
    </xf>
    <xf numFmtId="0" fontId="3" fillId="2" borderId="0" xfId="0" applyFont="1" applyFill="1" applyAlignment="1">
      <alignment horizontal="center" vertical="justify" wrapText="1"/>
    </xf>
    <xf numFmtId="0" fontId="4" fillId="2" borderId="1" xfId="0" applyFont="1" applyFill="1" applyBorder="1" applyAlignment="1">
      <alignment horizontal="left"/>
    </xf>
    <xf numFmtId="0" fontId="23" fillId="2" borderId="1" xfId="0" applyFont="1" applyFill="1" applyBorder="1"/>
    <xf numFmtId="166" fontId="4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wrapText="1"/>
    </xf>
    <xf numFmtId="167" fontId="4" fillId="2" borderId="1" xfId="0" applyNumberFormat="1" applyFont="1" applyFill="1" applyBorder="1" applyAlignment="1">
      <alignment horizontal="right" wrapText="1"/>
    </xf>
    <xf numFmtId="0" fontId="15" fillId="2" borderId="1" xfId="0" applyFont="1" applyFill="1" applyBorder="1"/>
    <xf numFmtId="2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/>
    <xf numFmtId="0" fontId="4" fillId="2" borderId="0" xfId="0" applyFont="1" applyFill="1" applyAlignment="1">
      <alignment horizontal="right" vertical="justify" wrapText="1"/>
    </xf>
    <xf numFmtId="164" fontId="4" fillId="2" borderId="0" xfId="0" applyNumberFormat="1" applyFont="1" applyFill="1" applyAlignment="1">
      <alignment horizontal="right" vertical="justify" wrapText="1"/>
    </xf>
    <xf numFmtId="170" fontId="4" fillId="2" borderId="1" xfId="0" applyNumberFormat="1" applyFont="1" applyFill="1" applyBorder="1" applyAlignment="1">
      <alignment horizontal="right" wrapText="1"/>
    </xf>
    <xf numFmtId="166" fontId="4" fillId="2" borderId="0" xfId="0" applyNumberFormat="1" applyFont="1" applyFill="1" applyAlignment="1">
      <alignment horizontal="right" vertical="justify" wrapText="1"/>
    </xf>
    <xf numFmtId="0" fontId="4" fillId="2" borderId="0" xfId="0" applyFont="1" applyFill="1" applyAlignment="1">
      <alignment vertical="justify" wrapText="1"/>
    </xf>
    <xf numFmtId="164" fontId="4" fillId="2" borderId="0" xfId="0" applyNumberFormat="1" applyFont="1" applyFill="1" applyAlignment="1">
      <alignment vertical="justify" wrapText="1"/>
    </xf>
    <xf numFmtId="169" fontId="23" fillId="2" borderId="1" xfId="0" applyNumberFormat="1" applyFont="1" applyFill="1" applyBorder="1"/>
    <xf numFmtId="171" fontId="4" fillId="2" borderId="1" xfId="0" applyNumberFormat="1" applyFont="1" applyFill="1" applyBorder="1" applyAlignment="1">
      <alignment horizontal="right" wrapText="1"/>
    </xf>
    <xf numFmtId="0" fontId="24" fillId="2" borderId="1" xfId="0" applyFont="1" applyFill="1" applyBorder="1"/>
    <xf numFmtId="0" fontId="4" fillId="2" borderId="1" xfId="0" applyFont="1" applyFill="1" applyBorder="1" applyAlignment="1">
      <alignment horizontal="left" vertical="justify" wrapText="1"/>
    </xf>
    <xf numFmtId="0" fontId="4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justify" wrapText="1"/>
    </xf>
    <xf numFmtId="0" fontId="5" fillId="2" borderId="1" xfId="0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horizontal="right" wrapText="1"/>
    </xf>
    <xf numFmtId="167" fontId="5" fillId="2" borderId="1" xfId="0" applyNumberFormat="1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right" vertical="justify" wrapText="1"/>
    </xf>
    <xf numFmtId="164" fontId="5" fillId="2" borderId="0" xfId="0" applyNumberFormat="1" applyFont="1" applyFill="1" applyAlignment="1">
      <alignment horizontal="right" vertical="justify" wrapText="1"/>
    </xf>
    <xf numFmtId="165" fontId="4" fillId="2" borderId="0" xfId="0" applyNumberFormat="1" applyFont="1" applyFill="1" applyBorder="1" applyAlignment="1">
      <alignment vertical="justify" wrapText="1"/>
    </xf>
    <xf numFmtId="165" fontId="4" fillId="2" borderId="0" xfId="0" applyNumberFormat="1" applyFont="1" applyFill="1" applyAlignment="1">
      <alignment vertical="justify" wrapText="1"/>
    </xf>
    <xf numFmtId="0" fontId="5" fillId="2" borderId="0" xfId="0" applyFont="1" applyFill="1" applyAlignment="1">
      <alignment vertical="justify" wrapText="1"/>
    </xf>
    <xf numFmtId="165" fontId="7" fillId="2" borderId="2" xfId="0" applyNumberFormat="1" applyFont="1" applyFill="1" applyBorder="1" applyAlignment="1">
      <alignment vertical="justify" wrapText="1"/>
    </xf>
    <xf numFmtId="165" fontId="5" fillId="2" borderId="2" xfId="0" applyNumberFormat="1" applyFont="1" applyFill="1" applyBorder="1" applyAlignment="1">
      <alignment vertical="justify" wrapText="1"/>
    </xf>
    <xf numFmtId="0" fontId="4" fillId="2" borderId="0" xfId="0" applyFont="1" applyFill="1"/>
    <xf numFmtId="165" fontId="4" fillId="2" borderId="0" xfId="0" applyNumberFormat="1" applyFont="1" applyFill="1"/>
    <xf numFmtId="0" fontId="11" fillId="2" borderId="1" xfId="0" applyFont="1" applyFill="1" applyBorder="1"/>
    <xf numFmtId="165" fontId="11" fillId="2" borderId="1" xfId="0" applyNumberFormat="1" applyFont="1" applyFill="1" applyBorder="1"/>
    <xf numFmtId="0" fontId="11" fillId="2" borderId="1" xfId="0" applyNumberFormat="1" applyFont="1" applyFill="1" applyBorder="1"/>
    <xf numFmtId="0" fontId="10" fillId="2" borderId="0" xfId="0" applyFont="1" applyFill="1"/>
    <xf numFmtId="164" fontId="11" fillId="2" borderId="1" xfId="0" applyNumberFormat="1" applyFont="1" applyFill="1" applyBorder="1"/>
    <xf numFmtId="164" fontId="12" fillId="2" borderId="1" xfId="0" applyNumberFormat="1" applyFont="1" applyFill="1" applyBorder="1"/>
    <xf numFmtId="0" fontId="12" fillId="2" borderId="1" xfId="0" applyFont="1" applyFill="1" applyBorder="1"/>
    <xf numFmtId="0" fontId="11" fillId="2" borderId="0" xfId="0" applyFont="1" applyFill="1"/>
    <xf numFmtId="0" fontId="11" fillId="2" borderId="0" xfId="0" applyFont="1" applyFill="1" applyAlignment="1"/>
    <xf numFmtId="0" fontId="17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20" fillId="2" borderId="1" xfId="0" applyFont="1" applyFill="1" applyBorder="1"/>
    <xf numFmtId="165" fontId="19" fillId="2" borderId="1" xfId="0" applyNumberFormat="1" applyFont="1" applyFill="1" applyBorder="1"/>
    <xf numFmtId="2" fontId="20" fillId="2" borderId="1" xfId="0" applyNumberFormat="1" applyFont="1" applyFill="1" applyBorder="1"/>
    <xf numFmtId="2" fontId="19" fillId="2" borderId="1" xfId="0" applyNumberFormat="1" applyFont="1" applyFill="1" applyBorder="1"/>
    <xf numFmtId="165" fontId="20" fillId="2" borderId="1" xfId="0" applyNumberFormat="1" applyFont="1" applyFill="1" applyBorder="1"/>
    <xf numFmtId="0" fontId="18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165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G34"/>
  <sheetViews>
    <sheetView tabSelected="1" zoomScale="45" zoomScaleNormal="45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V10" sqref="V10"/>
    </sheetView>
  </sheetViews>
  <sheetFormatPr defaultColWidth="19.5703125" defaultRowHeight="30"/>
  <cols>
    <col min="1" max="1" width="68.42578125" style="67" customWidth="1"/>
    <col min="2" max="2" width="33.5703125" style="67" customWidth="1"/>
    <col min="3" max="3" width="32.85546875" style="67" customWidth="1"/>
    <col min="4" max="4" width="25.7109375" style="67" customWidth="1"/>
    <col min="5" max="5" width="29" style="67" customWidth="1"/>
    <col min="6" max="6" width="26.7109375" style="67" customWidth="1"/>
    <col min="7" max="7" width="25.42578125" style="67" customWidth="1"/>
    <col min="8" max="8" width="33.140625" style="67" customWidth="1"/>
    <col min="9" max="9" width="33" style="67" customWidth="1"/>
    <col min="10" max="10" width="29.140625" style="67" customWidth="1"/>
    <col min="11" max="11" width="30.42578125" style="67" customWidth="1"/>
    <col min="12" max="12" width="26.85546875" style="67" customWidth="1"/>
    <col min="13" max="13" width="28.140625" style="67" customWidth="1"/>
    <col min="14" max="14" width="33.42578125" style="67" customWidth="1"/>
    <col min="15" max="15" width="32.28515625" style="67" customWidth="1"/>
    <col min="16" max="16" width="31.5703125" style="67" customWidth="1"/>
    <col min="17" max="17" width="28.7109375" style="67" customWidth="1"/>
    <col min="18" max="18" width="24.28515625" style="67" customWidth="1"/>
    <col min="19" max="19" width="38.85546875" style="67" customWidth="1"/>
    <col min="20" max="20" width="18.85546875" style="67" customWidth="1"/>
    <col min="21" max="21" width="30.7109375" style="67" customWidth="1"/>
    <col min="22" max="22" width="30.85546875" style="67" customWidth="1"/>
    <col min="23" max="23" width="31.42578125" style="67" customWidth="1"/>
    <col min="24" max="24" width="0.5703125" style="67" hidden="1" customWidth="1"/>
    <col min="25" max="33" width="19.5703125" style="67" hidden="1" customWidth="1"/>
    <col min="34" max="16384" width="19.5703125" style="67"/>
  </cols>
  <sheetData>
    <row r="1" spans="1:33">
      <c r="B1" s="68" t="s">
        <v>77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33" s="70" customFormat="1"/>
    <row r="3" spans="1:33" s="73" customFormat="1" ht="186.75" customHeight="1">
      <c r="A3" s="71" t="s">
        <v>0</v>
      </c>
      <c r="B3" s="71" t="s">
        <v>74</v>
      </c>
      <c r="C3" s="71" t="s">
        <v>78</v>
      </c>
      <c r="D3" s="71" t="s">
        <v>1</v>
      </c>
      <c r="E3" s="71" t="s">
        <v>7</v>
      </c>
      <c r="F3" s="71" t="s">
        <v>2</v>
      </c>
      <c r="G3" s="71" t="s">
        <v>3</v>
      </c>
      <c r="H3" s="71" t="s">
        <v>8</v>
      </c>
      <c r="I3" s="71" t="s">
        <v>4</v>
      </c>
      <c r="J3" s="71" t="s">
        <v>24</v>
      </c>
      <c r="K3" s="71" t="s">
        <v>5</v>
      </c>
      <c r="L3" s="71" t="s">
        <v>9</v>
      </c>
      <c r="M3" s="71" t="s">
        <v>10</v>
      </c>
      <c r="N3" s="71" t="s">
        <v>11</v>
      </c>
      <c r="O3" s="71" t="s">
        <v>23</v>
      </c>
      <c r="P3" s="72" t="s">
        <v>12</v>
      </c>
      <c r="Q3" s="71" t="s">
        <v>13</v>
      </c>
      <c r="R3" s="71" t="s">
        <v>15</v>
      </c>
      <c r="S3" s="71" t="s">
        <v>14</v>
      </c>
      <c r="T3" s="71" t="s">
        <v>16</v>
      </c>
      <c r="U3" s="71" t="s">
        <v>17</v>
      </c>
      <c r="V3" s="71" t="s">
        <v>18</v>
      </c>
      <c r="W3" s="71" t="s">
        <v>19</v>
      </c>
    </row>
    <row r="4" spans="1:33" s="77" customFormat="1" ht="42" customHeight="1">
      <c r="A4" s="74">
        <v>1</v>
      </c>
      <c r="B4" s="74">
        <v>2</v>
      </c>
      <c r="C4" s="74">
        <v>3</v>
      </c>
      <c r="D4" s="74">
        <v>4</v>
      </c>
      <c r="E4" s="74">
        <v>5</v>
      </c>
      <c r="F4" s="74">
        <v>6</v>
      </c>
      <c r="G4" s="74">
        <v>7</v>
      </c>
      <c r="H4" s="74">
        <v>8</v>
      </c>
      <c r="I4" s="74">
        <v>9</v>
      </c>
      <c r="J4" s="74">
        <v>10</v>
      </c>
      <c r="K4" s="74">
        <v>11</v>
      </c>
      <c r="L4" s="74">
        <v>12</v>
      </c>
      <c r="M4" s="74">
        <v>13</v>
      </c>
      <c r="N4" s="74">
        <v>14</v>
      </c>
      <c r="O4" s="74">
        <v>15</v>
      </c>
      <c r="P4" s="74">
        <v>16</v>
      </c>
      <c r="Q4" s="74">
        <v>17</v>
      </c>
      <c r="R4" s="74">
        <v>18</v>
      </c>
      <c r="S4" s="74">
        <v>19</v>
      </c>
      <c r="T4" s="74">
        <v>20</v>
      </c>
      <c r="U4" s="74">
        <v>21</v>
      </c>
      <c r="V4" s="74">
        <v>22</v>
      </c>
      <c r="W4" s="74">
        <v>23</v>
      </c>
      <c r="X4" s="75"/>
      <c r="Y4" s="76"/>
      <c r="Z4" s="76"/>
      <c r="AA4" s="76"/>
      <c r="AB4" s="76"/>
    </row>
    <row r="5" spans="1:33" s="89" customFormat="1" ht="45" customHeight="1">
      <c r="A5" s="78" t="s">
        <v>57</v>
      </c>
      <c r="B5" s="79">
        <v>7.242</v>
      </c>
      <c r="C5" s="80">
        <f>'Налоговый потенциал'!F5</f>
        <v>24434.985000000001</v>
      </c>
      <c r="D5" s="80">
        <f t="shared" ref="D5:D28" si="0">C5/B5</f>
        <v>3374.0658657829331</v>
      </c>
      <c r="E5" s="81">
        <f t="shared" ref="E5:E28" si="1">D5/D$29</f>
        <v>1.3110283264377278</v>
      </c>
      <c r="F5" s="81">
        <f>ИБР!V7</f>
        <v>0.9172892204058648</v>
      </c>
      <c r="G5" s="81">
        <f t="shared" ref="G5:G28" si="2">E5/F5</f>
        <v>1.4292420506780279</v>
      </c>
      <c r="H5" s="81">
        <v>1.429</v>
      </c>
      <c r="I5" s="80"/>
      <c r="J5" s="81"/>
      <c r="K5" s="80">
        <f t="shared" ref="K5:K28" si="3">I5*J5</f>
        <v>0</v>
      </c>
      <c r="L5" s="80">
        <f t="shared" ref="L5:L10" si="4">K5+O5+P5</f>
        <v>32248.385000000002</v>
      </c>
      <c r="M5" s="80">
        <f t="shared" ref="M5:M28" si="5">L5/B5</f>
        <v>4452.9667219000276</v>
      </c>
      <c r="N5" s="82">
        <f t="shared" ref="N5:N28" si="6">G5+K5/(F5*B5*$M$29)</f>
        <v>1.4292420506780279</v>
      </c>
      <c r="O5" s="83">
        <v>27716.400000000001</v>
      </c>
      <c r="P5" s="84">
        <f>'за счет субвенций'!F3</f>
        <v>4531.9849999999997</v>
      </c>
      <c r="Q5" s="85">
        <f t="shared" ref="Q5:Q28" si="7">(O5+P5+ K5)/B5</f>
        <v>4452.9667219000276</v>
      </c>
      <c r="R5" s="86" t="s">
        <v>6</v>
      </c>
      <c r="S5" s="80"/>
      <c r="T5" s="87" t="s">
        <v>6</v>
      </c>
      <c r="U5" s="80">
        <f>(T$29-K$29)*S5/S$29</f>
        <v>0</v>
      </c>
      <c r="V5" s="80">
        <f t="shared" ref="V5:V29" si="8">K5+U5</f>
        <v>0</v>
      </c>
      <c r="W5" s="81">
        <f t="shared" ref="W5:W28" si="9">G5+V5/(B5*F5*Q$29)</f>
        <v>1.4292420506780279</v>
      </c>
      <c r="X5" s="88">
        <f>'Расчёт коэф-в'!J5</f>
        <v>0</v>
      </c>
      <c r="AA5" s="90"/>
    </row>
    <row r="6" spans="1:33" s="89" customFormat="1" ht="39" customHeight="1">
      <c r="A6" s="78" t="s">
        <v>58</v>
      </c>
      <c r="B6" s="79">
        <v>1.2410000000000001</v>
      </c>
      <c r="C6" s="80">
        <f>'Налоговый потенциал'!F6</f>
        <v>1651.2</v>
      </c>
      <c r="D6" s="80">
        <f t="shared" si="0"/>
        <v>1330.5398871877517</v>
      </c>
      <c r="E6" s="81">
        <f t="shared" si="1"/>
        <v>0.51699508869949962</v>
      </c>
      <c r="F6" s="81">
        <f>ИБР!V8</f>
        <v>1.2315266114140198</v>
      </c>
      <c r="G6" s="81">
        <f t="shared" si="2"/>
        <v>0.4198001763891191</v>
      </c>
      <c r="H6" s="81"/>
      <c r="I6" s="80">
        <f>$D$29*($H$29-G6)*F6*B6</f>
        <v>1678.3383818619773</v>
      </c>
      <c r="J6" s="81">
        <v>0.4</v>
      </c>
      <c r="K6" s="80">
        <f t="shared" si="3"/>
        <v>671.33535274479095</v>
      </c>
      <c r="L6" s="80">
        <f t="shared" si="4"/>
        <v>2604.6353527447909</v>
      </c>
      <c r="M6" s="80">
        <f t="shared" si="5"/>
        <v>2098.8197846452786</v>
      </c>
      <c r="N6" s="82">
        <f t="shared" si="6"/>
        <v>0.55434919378713099</v>
      </c>
      <c r="O6" s="83">
        <v>1156.7</v>
      </c>
      <c r="P6" s="84">
        <f>'за счет субвенций'!F4</f>
        <v>776.6</v>
      </c>
      <c r="Q6" s="85">
        <f t="shared" si="7"/>
        <v>2098.8197846452786</v>
      </c>
      <c r="R6" s="86" t="s">
        <v>6</v>
      </c>
      <c r="S6" s="80">
        <f>Q$29*(R$29-N6)*F6*B6</f>
        <v>2126.8041658435213</v>
      </c>
      <c r="T6" s="87" t="s">
        <v>6</v>
      </c>
      <c r="U6" s="80">
        <f>(T$29-K$29)*S6/S$29</f>
        <v>2329.339446103038</v>
      </c>
      <c r="V6" s="91">
        <f>K6+U6</f>
        <v>3000.6747988478292</v>
      </c>
      <c r="W6" s="81">
        <f t="shared" si="9"/>
        <v>1.0485619424066308</v>
      </c>
      <c r="X6" s="88">
        <f>'Расчёт коэф-в'!J6</f>
        <v>0</v>
      </c>
      <c r="Y6" s="92"/>
      <c r="Z6" s="93"/>
      <c r="AA6" s="90">
        <v>1979.9</v>
      </c>
      <c r="AB6" s="93"/>
      <c r="AC6" s="94">
        <f>AA6-V6</f>
        <v>-1020.7747988478291</v>
      </c>
      <c r="AD6" s="93"/>
      <c r="AE6" s="93"/>
      <c r="AF6" s="93"/>
      <c r="AG6" s="89">
        <v>1275.2</v>
      </c>
    </row>
    <row r="7" spans="1:33" s="89" customFormat="1" ht="39.75" customHeight="1">
      <c r="A7" s="78" t="s">
        <v>59</v>
      </c>
      <c r="B7" s="95">
        <v>1.198</v>
      </c>
      <c r="C7" s="80">
        <f>'Налоговый потенциал'!F7</f>
        <v>2123.3000000000002</v>
      </c>
      <c r="D7" s="80">
        <f t="shared" si="0"/>
        <v>1772.3706176961605</v>
      </c>
      <c r="E7" s="81">
        <f t="shared" si="1"/>
        <v>0.68867300674535425</v>
      </c>
      <c r="F7" s="81">
        <f>ИБР!V9</f>
        <v>1.2849118754304416</v>
      </c>
      <c r="G7" s="81">
        <f t="shared" si="2"/>
        <v>0.53596905742244061</v>
      </c>
      <c r="H7" s="81"/>
      <c r="I7" s="80">
        <f t="shared" ref="I7:I28" si="10">$D$29*($H$29-G7)*F7*B7</f>
        <v>1230.2022686642608</v>
      </c>
      <c r="J7" s="81">
        <v>0.4</v>
      </c>
      <c r="K7" s="80">
        <f t="shared" si="3"/>
        <v>492.08090746570434</v>
      </c>
      <c r="L7" s="80">
        <f t="shared" si="4"/>
        <v>2687.5809074657045</v>
      </c>
      <c r="M7" s="80">
        <f t="shared" si="5"/>
        <v>2243.3897391199539</v>
      </c>
      <c r="N7" s="82">
        <f t="shared" si="6"/>
        <v>0.6338871508538334</v>
      </c>
      <c r="O7" s="83">
        <v>1445.8</v>
      </c>
      <c r="P7" s="84">
        <f>'за счет субвенций'!F5</f>
        <v>749.7</v>
      </c>
      <c r="Q7" s="85">
        <f t="shared" si="7"/>
        <v>2243.3897391199539</v>
      </c>
      <c r="R7" s="86" t="s">
        <v>6</v>
      </c>
      <c r="S7" s="80">
        <f>Q$29*(R$29-N7)*F7*B7</f>
        <v>1759.7961198765213</v>
      </c>
      <c r="T7" s="87" t="s">
        <v>6</v>
      </c>
      <c r="U7" s="80">
        <f t="shared" ref="U7:U28" si="11">(T$29-K$29)*S7/S$29</f>
        <v>1927.3812723145879</v>
      </c>
      <c r="V7" s="96">
        <v>2419.4</v>
      </c>
      <c r="W7" s="81">
        <f t="shared" si="9"/>
        <v>1.0393077210435351</v>
      </c>
      <c r="X7" s="88">
        <f>'Расчёт коэф-в'!J7</f>
        <v>0</v>
      </c>
      <c r="Y7" s="92"/>
      <c r="Z7" s="93"/>
      <c r="AA7" s="90">
        <v>1680.7</v>
      </c>
      <c r="AB7" s="93"/>
      <c r="AC7" s="94">
        <f>AA7-V7</f>
        <v>-738.7</v>
      </c>
      <c r="AD7" s="93"/>
      <c r="AE7" s="93"/>
      <c r="AF7" s="93"/>
      <c r="AG7" s="89">
        <v>1267.3</v>
      </c>
    </row>
    <row r="8" spans="1:33" s="89" customFormat="1" ht="42.75" customHeight="1">
      <c r="A8" s="78" t="s">
        <v>60</v>
      </c>
      <c r="B8" s="95">
        <v>1.167</v>
      </c>
      <c r="C8" s="80">
        <f>'Налоговый потенциал'!F8</f>
        <v>1301.3</v>
      </c>
      <c r="D8" s="80">
        <f t="shared" si="0"/>
        <v>1115.0814053127676</v>
      </c>
      <c r="E8" s="81">
        <f>D8/D$29</f>
        <v>0.43327645837459106</v>
      </c>
      <c r="F8" s="81">
        <f>ИБР!V10</f>
        <v>1.6409335269998175</v>
      </c>
      <c r="G8" s="81">
        <f>E8/F8</f>
        <v>0.26404266306068302</v>
      </c>
      <c r="H8" s="81">
        <v>0.26400000000000001</v>
      </c>
      <c r="I8" s="80">
        <f>$D$29*($H$29-G8)*F8*B8</f>
        <v>2870.565399444326</v>
      </c>
      <c r="J8" s="81">
        <v>0.4</v>
      </c>
      <c r="K8" s="80">
        <f t="shared" si="3"/>
        <v>1148.2261597777303</v>
      </c>
      <c r="L8" s="80">
        <f t="shared" si="4"/>
        <v>2483.82615977773</v>
      </c>
      <c r="M8" s="80">
        <f t="shared" si="5"/>
        <v>2128.3857410263327</v>
      </c>
      <c r="N8" s="82">
        <f t="shared" si="6"/>
        <v>0.44770588021006408</v>
      </c>
      <c r="O8" s="83">
        <v>605.29999999999995</v>
      </c>
      <c r="P8" s="84">
        <f>'за счет субвенций'!F6</f>
        <v>730.3</v>
      </c>
      <c r="Q8" s="85">
        <f t="shared" si="7"/>
        <v>2128.3857410263327</v>
      </c>
      <c r="R8" s="86" t="s">
        <v>6</v>
      </c>
      <c r="S8" s="80">
        <f>Q$29*(R$29-N8)*F8*B8</f>
        <v>3302.5506536987918</v>
      </c>
      <c r="T8" s="87" t="s">
        <v>6</v>
      </c>
      <c r="U8" s="80">
        <f t="shared" si="11"/>
        <v>3617.0521169554459</v>
      </c>
      <c r="V8" s="91">
        <f t="shared" si="8"/>
        <v>4765.2782767331764</v>
      </c>
      <c r="W8" s="81">
        <f t="shared" si="9"/>
        <v>1.060952520735341</v>
      </c>
      <c r="X8" s="88">
        <f>'Расчёт коэф-в'!J8</f>
        <v>0</v>
      </c>
      <c r="Y8" s="92"/>
      <c r="Z8" s="93"/>
      <c r="AA8" s="90">
        <v>2216.8000000000002</v>
      </c>
      <c r="AB8" s="93"/>
      <c r="AC8" s="94">
        <f>AA8-V8</f>
        <v>-2548.4782767331762</v>
      </c>
      <c r="AD8" s="93"/>
      <c r="AE8" s="93"/>
      <c r="AF8" s="93"/>
      <c r="AG8" s="89">
        <v>1457.5</v>
      </c>
    </row>
    <row r="9" spans="1:33" s="89" customFormat="1" ht="43.5" customHeight="1">
      <c r="A9" s="78" t="s">
        <v>61</v>
      </c>
      <c r="B9" s="95">
        <v>2.8340000000000001</v>
      </c>
      <c r="C9" s="80">
        <f>'Налоговый потенциал'!F9</f>
        <v>6730.8</v>
      </c>
      <c r="D9" s="80">
        <f t="shared" si="0"/>
        <v>2375.0176429075514</v>
      </c>
      <c r="E9" s="81">
        <f t="shared" si="1"/>
        <v>0.92283776591855127</v>
      </c>
      <c r="F9" s="81">
        <f>ИБР!V11</f>
        <v>0.79754028822633949</v>
      </c>
      <c r="G9" s="81">
        <f t="shared" si="2"/>
        <v>1.1571048880437909</v>
      </c>
      <c r="H9" s="81"/>
      <c r="I9" s="80"/>
      <c r="J9" s="81">
        <v>0.4</v>
      </c>
      <c r="K9" s="80">
        <f t="shared" si="3"/>
        <v>0</v>
      </c>
      <c r="L9" s="80">
        <f t="shared" si="4"/>
        <v>7024.4</v>
      </c>
      <c r="M9" s="80">
        <f t="shared" si="5"/>
        <v>2478.6167960479884</v>
      </c>
      <c r="N9" s="82">
        <f t="shared" si="6"/>
        <v>1.1571048880437909</v>
      </c>
      <c r="O9" s="83">
        <v>5250.9</v>
      </c>
      <c r="P9" s="84">
        <f>'за счет субвенций'!F7</f>
        <v>1773.5</v>
      </c>
      <c r="Q9" s="85">
        <f t="shared" si="7"/>
        <v>2478.6167960479884</v>
      </c>
      <c r="R9" s="86" t="s">
        <v>6</v>
      </c>
      <c r="S9" s="80"/>
      <c r="T9" s="87" t="s">
        <v>6</v>
      </c>
      <c r="U9" s="80">
        <f t="shared" si="11"/>
        <v>0</v>
      </c>
      <c r="V9" s="91">
        <f>K9+U9</f>
        <v>0</v>
      </c>
      <c r="W9" s="81">
        <f t="shared" si="9"/>
        <v>1.1571048880437909</v>
      </c>
      <c r="X9" s="88">
        <f>'Расчёт коэф-в'!J9</f>
        <v>0</v>
      </c>
      <c r="AA9" s="90"/>
    </row>
    <row r="10" spans="1:33" s="89" customFormat="1" ht="54.75" customHeight="1">
      <c r="A10" s="78" t="s">
        <v>62</v>
      </c>
      <c r="B10" s="97">
        <v>1.825</v>
      </c>
      <c r="C10" s="80">
        <f>'Налоговый потенциал'!F10</f>
        <v>3667.2699999999995</v>
      </c>
      <c r="D10" s="80">
        <f t="shared" si="0"/>
        <v>2009.46301369863</v>
      </c>
      <c r="E10" s="81">
        <f t="shared" si="1"/>
        <v>0.78079771903815975</v>
      </c>
      <c r="F10" s="81">
        <f>ИБР!V12</f>
        <v>0.85436072015946496</v>
      </c>
      <c r="G10" s="81">
        <f t="shared" si="2"/>
        <v>0.91389702337020506</v>
      </c>
      <c r="H10" s="81"/>
      <c r="I10" s="80">
        <f>$D$29*($H$29-G10)*F10*B10</f>
        <v>-270.44959724606736</v>
      </c>
      <c r="J10" s="81">
        <v>0.4</v>
      </c>
      <c r="K10" s="80">
        <f t="shared" si="3"/>
        <v>-108.17983889842695</v>
      </c>
      <c r="L10" s="80">
        <f t="shared" si="4"/>
        <v>3576.8901611015726</v>
      </c>
      <c r="M10" s="80">
        <f t="shared" si="5"/>
        <v>1959.9398143022315</v>
      </c>
      <c r="N10" s="82">
        <f>G10+K10/(F10*B10*$M$29)</f>
        <v>0.89264507347888877</v>
      </c>
      <c r="O10" s="83">
        <v>2543</v>
      </c>
      <c r="P10" s="84">
        <f>'за счет субвенций'!F8</f>
        <v>1142.07</v>
      </c>
      <c r="Q10" s="85">
        <f>(O10+P10+ K10)/B10</f>
        <v>1959.9398143022315</v>
      </c>
      <c r="R10" s="86" t="s">
        <v>6</v>
      </c>
      <c r="S10" s="80">
        <f>Q$29*(R$29-N10)*F10*B10</f>
        <v>522.68898081880764</v>
      </c>
      <c r="T10" s="87"/>
      <c r="U10" s="80">
        <f t="shared" si="11"/>
        <v>572.46458353712922</v>
      </c>
      <c r="V10" s="91">
        <f>K10+U10</f>
        <v>464.28474463870225</v>
      </c>
      <c r="W10" s="81">
        <f t="shared" si="9"/>
        <v>1.0092563220634352</v>
      </c>
      <c r="X10" s="88">
        <f>'Расчёт коэф-в'!J10</f>
        <v>0</v>
      </c>
      <c r="AA10" s="90"/>
    </row>
    <row r="11" spans="1:33" s="89" customFormat="1" ht="26.25" hidden="1">
      <c r="A11" s="98"/>
      <c r="B11" s="99"/>
      <c r="C11" s="80"/>
      <c r="D11" s="80" t="e">
        <f t="shared" si="0"/>
        <v>#DIV/0!</v>
      </c>
      <c r="E11" s="81" t="e">
        <f t="shared" si="1"/>
        <v>#DIV/0!</v>
      </c>
      <c r="F11" s="81"/>
      <c r="G11" s="81" t="e">
        <f t="shared" si="2"/>
        <v>#DIV/0!</v>
      </c>
      <c r="H11" s="81"/>
      <c r="I11" s="80" t="e">
        <f t="shared" si="10"/>
        <v>#DIV/0!</v>
      </c>
      <c r="J11" s="81"/>
      <c r="K11" s="80" t="e">
        <f t="shared" si="3"/>
        <v>#DIV/0!</v>
      </c>
      <c r="L11" s="80" t="e">
        <f t="shared" ref="L11:L28" si="12">C11+K11</f>
        <v>#DIV/0!</v>
      </c>
      <c r="M11" s="80" t="e">
        <f t="shared" si="5"/>
        <v>#DIV/0!</v>
      </c>
      <c r="N11" s="82" t="e">
        <f t="shared" si="6"/>
        <v>#DIV/0!</v>
      </c>
      <c r="O11" s="85"/>
      <c r="P11" s="85"/>
      <c r="Q11" s="85" t="e">
        <f t="shared" si="7"/>
        <v>#DIV/0!</v>
      </c>
      <c r="R11" s="86" t="s">
        <v>6</v>
      </c>
      <c r="S11" s="80" t="e">
        <f t="shared" ref="S11:S28" si="13">Q$29*(R$29-N11)*F11*B11</f>
        <v>#DIV/0!</v>
      </c>
      <c r="T11" s="87" t="s">
        <v>6</v>
      </c>
      <c r="U11" s="80" t="e">
        <f t="shared" si="11"/>
        <v>#DIV/0!</v>
      </c>
      <c r="V11" s="80" t="e">
        <f t="shared" si="8"/>
        <v>#DIV/0!</v>
      </c>
      <c r="W11" s="81" t="e">
        <f t="shared" si="9"/>
        <v>#DIV/0!</v>
      </c>
      <c r="AA11" s="90"/>
    </row>
    <row r="12" spans="1:33" s="89" customFormat="1" ht="26.25" hidden="1">
      <c r="A12" s="98"/>
      <c r="B12" s="99"/>
      <c r="C12" s="80"/>
      <c r="D12" s="80" t="e">
        <f t="shared" si="0"/>
        <v>#DIV/0!</v>
      </c>
      <c r="E12" s="81" t="e">
        <f t="shared" si="1"/>
        <v>#DIV/0!</v>
      </c>
      <c r="F12" s="81"/>
      <c r="G12" s="81" t="e">
        <f t="shared" si="2"/>
        <v>#DIV/0!</v>
      </c>
      <c r="H12" s="81"/>
      <c r="I12" s="80" t="e">
        <f t="shared" si="10"/>
        <v>#DIV/0!</v>
      </c>
      <c r="J12" s="81"/>
      <c r="K12" s="80" t="e">
        <f t="shared" si="3"/>
        <v>#DIV/0!</v>
      </c>
      <c r="L12" s="80" t="e">
        <f t="shared" si="12"/>
        <v>#DIV/0!</v>
      </c>
      <c r="M12" s="80" t="e">
        <f t="shared" si="5"/>
        <v>#DIV/0!</v>
      </c>
      <c r="N12" s="82" t="e">
        <f t="shared" si="6"/>
        <v>#DIV/0!</v>
      </c>
      <c r="O12" s="85"/>
      <c r="P12" s="85"/>
      <c r="Q12" s="85" t="e">
        <f t="shared" si="7"/>
        <v>#DIV/0!</v>
      </c>
      <c r="R12" s="86" t="s">
        <v>6</v>
      </c>
      <c r="S12" s="80" t="e">
        <f t="shared" si="13"/>
        <v>#DIV/0!</v>
      </c>
      <c r="T12" s="87" t="s">
        <v>6</v>
      </c>
      <c r="U12" s="80" t="e">
        <f t="shared" si="11"/>
        <v>#DIV/0!</v>
      </c>
      <c r="V12" s="80" t="e">
        <f t="shared" si="8"/>
        <v>#DIV/0!</v>
      </c>
      <c r="W12" s="81" t="e">
        <f t="shared" si="9"/>
        <v>#DIV/0!</v>
      </c>
      <c r="AA12" s="90"/>
    </row>
    <row r="13" spans="1:33" s="89" customFormat="1" ht="26.25" hidden="1">
      <c r="A13" s="98"/>
      <c r="B13" s="99"/>
      <c r="C13" s="80"/>
      <c r="D13" s="80" t="e">
        <f t="shared" si="0"/>
        <v>#DIV/0!</v>
      </c>
      <c r="E13" s="81" t="e">
        <f t="shared" si="1"/>
        <v>#DIV/0!</v>
      </c>
      <c r="F13" s="81"/>
      <c r="G13" s="81" t="e">
        <f t="shared" si="2"/>
        <v>#DIV/0!</v>
      </c>
      <c r="H13" s="81"/>
      <c r="I13" s="80" t="e">
        <f t="shared" si="10"/>
        <v>#DIV/0!</v>
      </c>
      <c r="J13" s="81"/>
      <c r="K13" s="80" t="e">
        <f t="shared" si="3"/>
        <v>#DIV/0!</v>
      </c>
      <c r="L13" s="80" t="e">
        <f t="shared" si="12"/>
        <v>#DIV/0!</v>
      </c>
      <c r="M13" s="80" t="e">
        <f t="shared" si="5"/>
        <v>#DIV/0!</v>
      </c>
      <c r="N13" s="82" t="e">
        <f t="shared" si="6"/>
        <v>#DIV/0!</v>
      </c>
      <c r="O13" s="85"/>
      <c r="P13" s="85"/>
      <c r="Q13" s="85" t="e">
        <f t="shared" si="7"/>
        <v>#DIV/0!</v>
      </c>
      <c r="R13" s="86" t="s">
        <v>6</v>
      </c>
      <c r="S13" s="80" t="e">
        <f t="shared" si="13"/>
        <v>#DIV/0!</v>
      </c>
      <c r="T13" s="87" t="s">
        <v>6</v>
      </c>
      <c r="U13" s="80" t="e">
        <f t="shared" si="11"/>
        <v>#DIV/0!</v>
      </c>
      <c r="V13" s="80" t="e">
        <f t="shared" si="8"/>
        <v>#DIV/0!</v>
      </c>
      <c r="W13" s="81" t="e">
        <f t="shared" si="9"/>
        <v>#DIV/0!</v>
      </c>
      <c r="AA13" s="90"/>
    </row>
    <row r="14" spans="1:33" s="89" customFormat="1" ht="26.25" hidden="1">
      <c r="A14" s="98"/>
      <c r="B14" s="99"/>
      <c r="C14" s="80"/>
      <c r="D14" s="80" t="e">
        <f t="shared" si="0"/>
        <v>#DIV/0!</v>
      </c>
      <c r="E14" s="81" t="e">
        <f t="shared" si="1"/>
        <v>#DIV/0!</v>
      </c>
      <c r="F14" s="81"/>
      <c r="G14" s="81" t="e">
        <f t="shared" si="2"/>
        <v>#DIV/0!</v>
      </c>
      <c r="H14" s="81"/>
      <c r="I14" s="80" t="e">
        <f t="shared" si="10"/>
        <v>#DIV/0!</v>
      </c>
      <c r="J14" s="81"/>
      <c r="K14" s="80" t="e">
        <f t="shared" si="3"/>
        <v>#DIV/0!</v>
      </c>
      <c r="L14" s="80" t="e">
        <f t="shared" si="12"/>
        <v>#DIV/0!</v>
      </c>
      <c r="M14" s="80" t="e">
        <f t="shared" si="5"/>
        <v>#DIV/0!</v>
      </c>
      <c r="N14" s="82" t="e">
        <f t="shared" si="6"/>
        <v>#DIV/0!</v>
      </c>
      <c r="O14" s="85"/>
      <c r="P14" s="85"/>
      <c r="Q14" s="85" t="e">
        <f t="shared" si="7"/>
        <v>#DIV/0!</v>
      </c>
      <c r="R14" s="86" t="s">
        <v>6</v>
      </c>
      <c r="S14" s="80" t="e">
        <f t="shared" si="13"/>
        <v>#DIV/0!</v>
      </c>
      <c r="T14" s="87" t="s">
        <v>6</v>
      </c>
      <c r="U14" s="80" t="e">
        <f t="shared" si="11"/>
        <v>#DIV/0!</v>
      </c>
      <c r="V14" s="80" t="e">
        <f t="shared" si="8"/>
        <v>#DIV/0!</v>
      </c>
      <c r="W14" s="81" t="e">
        <f t="shared" si="9"/>
        <v>#DIV/0!</v>
      </c>
      <c r="AA14" s="90"/>
    </row>
    <row r="15" spans="1:33" s="89" customFormat="1" ht="26.25" hidden="1">
      <c r="A15" s="98"/>
      <c r="B15" s="99"/>
      <c r="C15" s="80"/>
      <c r="D15" s="80" t="e">
        <f t="shared" si="0"/>
        <v>#DIV/0!</v>
      </c>
      <c r="E15" s="81" t="e">
        <f t="shared" si="1"/>
        <v>#DIV/0!</v>
      </c>
      <c r="F15" s="81"/>
      <c r="G15" s="81" t="e">
        <f t="shared" si="2"/>
        <v>#DIV/0!</v>
      </c>
      <c r="H15" s="81"/>
      <c r="I15" s="80" t="e">
        <f t="shared" si="10"/>
        <v>#DIV/0!</v>
      </c>
      <c r="J15" s="81"/>
      <c r="K15" s="80" t="e">
        <f t="shared" si="3"/>
        <v>#DIV/0!</v>
      </c>
      <c r="L15" s="80" t="e">
        <f t="shared" si="12"/>
        <v>#DIV/0!</v>
      </c>
      <c r="M15" s="80" t="e">
        <f t="shared" si="5"/>
        <v>#DIV/0!</v>
      </c>
      <c r="N15" s="82" t="e">
        <f t="shared" si="6"/>
        <v>#DIV/0!</v>
      </c>
      <c r="O15" s="85"/>
      <c r="P15" s="85"/>
      <c r="Q15" s="85" t="e">
        <f t="shared" si="7"/>
        <v>#DIV/0!</v>
      </c>
      <c r="R15" s="86" t="s">
        <v>6</v>
      </c>
      <c r="S15" s="80" t="e">
        <f t="shared" si="13"/>
        <v>#DIV/0!</v>
      </c>
      <c r="T15" s="87" t="s">
        <v>6</v>
      </c>
      <c r="U15" s="80" t="e">
        <f t="shared" si="11"/>
        <v>#DIV/0!</v>
      </c>
      <c r="V15" s="80" t="e">
        <f t="shared" si="8"/>
        <v>#DIV/0!</v>
      </c>
      <c r="W15" s="81" t="e">
        <f t="shared" si="9"/>
        <v>#DIV/0!</v>
      </c>
      <c r="AA15" s="90"/>
    </row>
    <row r="16" spans="1:33" s="89" customFormat="1" ht="26.25" hidden="1">
      <c r="A16" s="98"/>
      <c r="B16" s="99"/>
      <c r="C16" s="80"/>
      <c r="D16" s="80" t="e">
        <f t="shared" si="0"/>
        <v>#DIV/0!</v>
      </c>
      <c r="E16" s="81" t="e">
        <f t="shared" si="1"/>
        <v>#DIV/0!</v>
      </c>
      <c r="F16" s="81"/>
      <c r="G16" s="81" t="e">
        <f t="shared" si="2"/>
        <v>#DIV/0!</v>
      </c>
      <c r="H16" s="81"/>
      <c r="I16" s="80" t="e">
        <f t="shared" si="10"/>
        <v>#DIV/0!</v>
      </c>
      <c r="J16" s="81"/>
      <c r="K16" s="80" t="e">
        <f t="shared" si="3"/>
        <v>#DIV/0!</v>
      </c>
      <c r="L16" s="80" t="e">
        <f t="shared" si="12"/>
        <v>#DIV/0!</v>
      </c>
      <c r="M16" s="80" t="e">
        <f t="shared" si="5"/>
        <v>#DIV/0!</v>
      </c>
      <c r="N16" s="82" t="e">
        <f t="shared" si="6"/>
        <v>#DIV/0!</v>
      </c>
      <c r="O16" s="85"/>
      <c r="P16" s="85"/>
      <c r="Q16" s="85" t="e">
        <f t="shared" si="7"/>
        <v>#DIV/0!</v>
      </c>
      <c r="R16" s="86" t="s">
        <v>6</v>
      </c>
      <c r="S16" s="80" t="e">
        <f t="shared" si="13"/>
        <v>#DIV/0!</v>
      </c>
      <c r="T16" s="87" t="s">
        <v>6</v>
      </c>
      <c r="U16" s="80" t="e">
        <f t="shared" si="11"/>
        <v>#DIV/0!</v>
      </c>
      <c r="V16" s="80" t="e">
        <f t="shared" si="8"/>
        <v>#DIV/0!</v>
      </c>
      <c r="W16" s="81" t="e">
        <f t="shared" si="9"/>
        <v>#DIV/0!</v>
      </c>
      <c r="AA16" s="90"/>
    </row>
    <row r="17" spans="1:29" s="89" customFormat="1" ht="26.25" hidden="1">
      <c r="A17" s="98"/>
      <c r="B17" s="99"/>
      <c r="C17" s="80"/>
      <c r="D17" s="80" t="e">
        <f t="shared" si="0"/>
        <v>#DIV/0!</v>
      </c>
      <c r="E17" s="81" t="e">
        <f t="shared" si="1"/>
        <v>#DIV/0!</v>
      </c>
      <c r="F17" s="81"/>
      <c r="G17" s="81" t="e">
        <f t="shared" si="2"/>
        <v>#DIV/0!</v>
      </c>
      <c r="H17" s="81"/>
      <c r="I17" s="80" t="e">
        <f t="shared" si="10"/>
        <v>#DIV/0!</v>
      </c>
      <c r="J17" s="81"/>
      <c r="K17" s="80" t="e">
        <f t="shared" si="3"/>
        <v>#DIV/0!</v>
      </c>
      <c r="L17" s="80" t="e">
        <f t="shared" si="12"/>
        <v>#DIV/0!</v>
      </c>
      <c r="M17" s="80" t="e">
        <f t="shared" si="5"/>
        <v>#DIV/0!</v>
      </c>
      <c r="N17" s="82" t="e">
        <f t="shared" si="6"/>
        <v>#DIV/0!</v>
      </c>
      <c r="O17" s="85"/>
      <c r="P17" s="85"/>
      <c r="Q17" s="85" t="e">
        <f t="shared" si="7"/>
        <v>#DIV/0!</v>
      </c>
      <c r="R17" s="86" t="s">
        <v>6</v>
      </c>
      <c r="S17" s="80" t="e">
        <f t="shared" si="13"/>
        <v>#DIV/0!</v>
      </c>
      <c r="T17" s="87" t="s">
        <v>6</v>
      </c>
      <c r="U17" s="80" t="e">
        <f t="shared" si="11"/>
        <v>#DIV/0!</v>
      </c>
      <c r="V17" s="80" t="e">
        <f t="shared" si="8"/>
        <v>#DIV/0!</v>
      </c>
      <c r="W17" s="81" t="e">
        <f t="shared" si="9"/>
        <v>#DIV/0!</v>
      </c>
      <c r="AA17" s="90"/>
    </row>
    <row r="18" spans="1:29" s="89" customFormat="1" ht="26.25" hidden="1">
      <c r="A18" s="98"/>
      <c r="B18" s="99"/>
      <c r="C18" s="80"/>
      <c r="D18" s="80" t="e">
        <f t="shared" si="0"/>
        <v>#DIV/0!</v>
      </c>
      <c r="E18" s="81" t="e">
        <f t="shared" si="1"/>
        <v>#DIV/0!</v>
      </c>
      <c r="F18" s="81"/>
      <c r="G18" s="81" t="e">
        <f t="shared" si="2"/>
        <v>#DIV/0!</v>
      </c>
      <c r="H18" s="81"/>
      <c r="I18" s="80" t="e">
        <f t="shared" si="10"/>
        <v>#DIV/0!</v>
      </c>
      <c r="J18" s="81"/>
      <c r="K18" s="80" t="e">
        <f t="shared" si="3"/>
        <v>#DIV/0!</v>
      </c>
      <c r="L18" s="80" t="e">
        <f t="shared" si="12"/>
        <v>#DIV/0!</v>
      </c>
      <c r="M18" s="80" t="e">
        <f t="shared" si="5"/>
        <v>#DIV/0!</v>
      </c>
      <c r="N18" s="82" t="e">
        <f t="shared" si="6"/>
        <v>#DIV/0!</v>
      </c>
      <c r="O18" s="85"/>
      <c r="P18" s="85"/>
      <c r="Q18" s="85" t="e">
        <f t="shared" si="7"/>
        <v>#DIV/0!</v>
      </c>
      <c r="R18" s="86" t="s">
        <v>6</v>
      </c>
      <c r="S18" s="80" t="e">
        <f t="shared" si="13"/>
        <v>#DIV/0!</v>
      </c>
      <c r="T18" s="87" t="s">
        <v>6</v>
      </c>
      <c r="U18" s="80" t="e">
        <f t="shared" si="11"/>
        <v>#DIV/0!</v>
      </c>
      <c r="V18" s="80" t="e">
        <f t="shared" si="8"/>
        <v>#DIV/0!</v>
      </c>
      <c r="W18" s="81" t="e">
        <f t="shared" si="9"/>
        <v>#DIV/0!</v>
      </c>
      <c r="AA18" s="90"/>
    </row>
    <row r="19" spans="1:29" s="89" customFormat="1" ht="26.25" hidden="1">
      <c r="A19" s="98"/>
      <c r="B19" s="99"/>
      <c r="C19" s="80"/>
      <c r="D19" s="80" t="e">
        <f t="shared" si="0"/>
        <v>#DIV/0!</v>
      </c>
      <c r="E19" s="81" t="e">
        <f t="shared" si="1"/>
        <v>#DIV/0!</v>
      </c>
      <c r="F19" s="81"/>
      <c r="G19" s="81" t="e">
        <f t="shared" si="2"/>
        <v>#DIV/0!</v>
      </c>
      <c r="H19" s="81"/>
      <c r="I19" s="80" t="e">
        <f t="shared" si="10"/>
        <v>#DIV/0!</v>
      </c>
      <c r="J19" s="81"/>
      <c r="K19" s="80" t="e">
        <f t="shared" si="3"/>
        <v>#DIV/0!</v>
      </c>
      <c r="L19" s="80" t="e">
        <f t="shared" si="12"/>
        <v>#DIV/0!</v>
      </c>
      <c r="M19" s="80" t="e">
        <f t="shared" si="5"/>
        <v>#DIV/0!</v>
      </c>
      <c r="N19" s="82" t="e">
        <f t="shared" si="6"/>
        <v>#DIV/0!</v>
      </c>
      <c r="O19" s="85"/>
      <c r="P19" s="85"/>
      <c r="Q19" s="85" t="e">
        <f t="shared" si="7"/>
        <v>#DIV/0!</v>
      </c>
      <c r="R19" s="86" t="s">
        <v>6</v>
      </c>
      <c r="S19" s="80" t="e">
        <f t="shared" si="13"/>
        <v>#DIV/0!</v>
      </c>
      <c r="T19" s="87" t="s">
        <v>6</v>
      </c>
      <c r="U19" s="80" t="e">
        <f t="shared" si="11"/>
        <v>#DIV/0!</v>
      </c>
      <c r="V19" s="80" t="e">
        <f t="shared" si="8"/>
        <v>#DIV/0!</v>
      </c>
      <c r="W19" s="81" t="e">
        <f t="shared" si="9"/>
        <v>#DIV/0!</v>
      </c>
      <c r="AA19" s="90"/>
    </row>
    <row r="20" spans="1:29" s="89" customFormat="1" ht="26.25" hidden="1">
      <c r="A20" s="98"/>
      <c r="B20" s="99"/>
      <c r="C20" s="80"/>
      <c r="D20" s="80" t="e">
        <f t="shared" si="0"/>
        <v>#DIV/0!</v>
      </c>
      <c r="E20" s="81" t="e">
        <f t="shared" si="1"/>
        <v>#DIV/0!</v>
      </c>
      <c r="F20" s="81"/>
      <c r="G20" s="81" t="e">
        <f t="shared" si="2"/>
        <v>#DIV/0!</v>
      </c>
      <c r="H20" s="81"/>
      <c r="I20" s="80" t="e">
        <f t="shared" si="10"/>
        <v>#DIV/0!</v>
      </c>
      <c r="J20" s="81"/>
      <c r="K20" s="80" t="e">
        <f t="shared" si="3"/>
        <v>#DIV/0!</v>
      </c>
      <c r="L20" s="80" t="e">
        <f t="shared" si="12"/>
        <v>#DIV/0!</v>
      </c>
      <c r="M20" s="80" t="e">
        <f t="shared" si="5"/>
        <v>#DIV/0!</v>
      </c>
      <c r="N20" s="82" t="e">
        <f t="shared" si="6"/>
        <v>#DIV/0!</v>
      </c>
      <c r="O20" s="85"/>
      <c r="P20" s="85"/>
      <c r="Q20" s="85" t="e">
        <f t="shared" si="7"/>
        <v>#DIV/0!</v>
      </c>
      <c r="R20" s="86" t="s">
        <v>6</v>
      </c>
      <c r="S20" s="80" t="e">
        <f t="shared" si="13"/>
        <v>#DIV/0!</v>
      </c>
      <c r="T20" s="87" t="s">
        <v>6</v>
      </c>
      <c r="U20" s="80" t="e">
        <f t="shared" si="11"/>
        <v>#DIV/0!</v>
      </c>
      <c r="V20" s="80" t="e">
        <f t="shared" si="8"/>
        <v>#DIV/0!</v>
      </c>
      <c r="W20" s="81" t="e">
        <f t="shared" si="9"/>
        <v>#DIV/0!</v>
      </c>
      <c r="AA20" s="90"/>
    </row>
    <row r="21" spans="1:29" s="89" customFormat="1" ht="26.25" hidden="1">
      <c r="A21" s="98"/>
      <c r="B21" s="99"/>
      <c r="C21" s="80"/>
      <c r="D21" s="80" t="e">
        <f t="shared" si="0"/>
        <v>#DIV/0!</v>
      </c>
      <c r="E21" s="81" t="e">
        <f t="shared" si="1"/>
        <v>#DIV/0!</v>
      </c>
      <c r="F21" s="81"/>
      <c r="G21" s="81" t="e">
        <f t="shared" si="2"/>
        <v>#DIV/0!</v>
      </c>
      <c r="H21" s="81"/>
      <c r="I21" s="80" t="e">
        <f t="shared" si="10"/>
        <v>#DIV/0!</v>
      </c>
      <c r="J21" s="81"/>
      <c r="K21" s="80" t="e">
        <f t="shared" si="3"/>
        <v>#DIV/0!</v>
      </c>
      <c r="L21" s="80" t="e">
        <f t="shared" si="12"/>
        <v>#DIV/0!</v>
      </c>
      <c r="M21" s="80" t="e">
        <f t="shared" si="5"/>
        <v>#DIV/0!</v>
      </c>
      <c r="N21" s="82" t="e">
        <f t="shared" si="6"/>
        <v>#DIV/0!</v>
      </c>
      <c r="O21" s="85"/>
      <c r="P21" s="85"/>
      <c r="Q21" s="85" t="e">
        <f t="shared" si="7"/>
        <v>#DIV/0!</v>
      </c>
      <c r="R21" s="86" t="s">
        <v>6</v>
      </c>
      <c r="S21" s="80" t="e">
        <f t="shared" si="13"/>
        <v>#DIV/0!</v>
      </c>
      <c r="T21" s="87" t="s">
        <v>6</v>
      </c>
      <c r="U21" s="80" t="e">
        <f t="shared" si="11"/>
        <v>#DIV/0!</v>
      </c>
      <c r="V21" s="80" t="e">
        <f t="shared" si="8"/>
        <v>#DIV/0!</v>
      </c>
      <c r="W21" s="81" t="e">
        <f t="shared" si="9"/>
        <v>#DIV/0!</v>
      </c>
      <c r="AA21" s="90"/>
    </row>
    <row r="22" spans="1:29" s="89" customFormat="1" ht="26.25" hidden="1">
      <c r="A22" s="98"/>
      <c r="B22" s="99"/>
      <c r="C22" s="80"/>
      <c r="D22" s="80" t="e">
        <f t="shared" si="0"/>
        <v>#DIV/0!</v>
      </c>
      <c r="E22" s="81" t="e">
        <f t="shared" si="1"/>
        <v>#DIV/0!</v>
      </c>
      <c r="F22" s="81"/>
      <c r="G22" s="81" t="e">
        <f t="shared" si="2"/>
        <v>#DIV/0!</v>
      </c>
      <c r="H22" s="81"/>
      <c r="I22" s="80" t="e">
        <f t="shared" si="10"/>
        <v>#DIV/0!</v>
      </c>
      <c r="J22" s="81"/>
      <c r="K22" s="80" t="e">
        <f t="shared" si="3"/>
        <v>#DIV/0!</v>
      </c>
      <c r="L22" s="80" t="e">
        <f t="shared" si="12"/>
        <v>#DIV/0!</v>
      </c>
      <c r="M22" s="80" t="e">
        <f t="shared" si="5"/>
        <v>#DIV/0!</v>
      </c>
      <c r="N22" s="82" t="e">
        <f t="shared" si="6"/>
        <v>#DIV/0!</v>
      </c>
      <c r="O22" s="85"/>
      <c r="P22" s="85"/>
      <c r="Q22" s="85" t="e">
        <f t="shared" si="7"/>
        <v>#DIV/0!</v>
      </c>
      <c r="R22" s="86" t="s">
        <v>6</v>
      </c>
      <c r="S22" s="80" t="e">
        <f t="shared" si="13"/>
        <v>#DIV/0!</v>
      </c>
      <c r="T22" s="87" t="s">
        <v>6</v>
      </c>
      <c r="U22" s="80" t="e">
        <f t="shared" si="11"/>
        <v>#DIV/0!</v>
      </c>
      <c r="V22" s="80" t="e">
        <f t="shared" si="8"/>
        <v>#DIV/0!</v>
      </c>
      <c r="W22" s="81" t="e">
        <f t="shared" si="9"/>
        <v>#DIV/0!</v>
      </c>
      <c r="AA22" s="90"/>
    </row>
    <row r="23" spans="1:29" s="89" customFormat="1" ht="26.25" hidden="1">
      <c r="A23" s="98"/>
      <c r="B23" s="99"/>
      <c r="C23" s="80"/>
      <c r="D23" s="80" t="e">
        <f t="shared" si="0"/>
        <v>#DIV/0!</v>
      </c>
      <c r="E23" s="81" t="e">
        <f t="shared" si="1"/>
        <v>#DIV/0!</v>
      </c>
      <c r="F23" s="81"/>
      <c r="G23" s="81" t="e">
        <f t="shared" si="2"/>
        <v>#DIV/0!</v>
      </c>
      <c r="H23" s="81"/>
      <c r="I23" s="80" t="e">
        <f t="shared" si="10"/>
        <v>#DIV/0!</v>
      </c>
      <c r="J23" s="81"/>
      <c r="K23" s="80" t="e">
        <f t="shared" si="3"/>
        <v>#DIV/0!</v>
      </c>
      <c r="L23" s="80" t="e">
        <f t="shared" si="12"/>
        <v>#DIV/0!</v>
      </c>
      <c r="M23" s="80" t="e">
        <f t="shared" si="5"/>
        <v>#DIV/0!</v>
      </c>
      <c r="N23" s="82" t="e">
        <f t="shared" si="6"/>
        <v>#DIV/0!</v>
      </c>
      <c r="O23" s="85"/>
      <c r="P23" s="85"/>
      <c r="Q23" s="85" t="e">
        <f t="shared" si="7"/>
        <v>#DIV/0!</v>
      </c>
      <c r="R23" s="86" t="s">
        <v>6</v>
      </c>
      <c r="S23" s="80" t="e">
        <f t="shared" si="13"/>
        <v>#DIV/0!</v>
      </c>
      <c r="T23" s="87" t="s">
        <v>6</v>
      </c>
      <c r="U23" s="80" t="e">
        <f t="shared" si="11"/>
        <v>#DIV/0!</v>
      </c>
      <c r="V23" s="80" t="e">
        <f t="shared" si="8"/>
        <v>#DIV/0!</v>
      </c>
      <c r="W23" s="81" t="e">
        <f t="shared" si="9"/>
        <v>#DIV/0!</v>
      </c>
      <c r="AA23" s="90"/>
    </row>
    <row r="24" spans="1:29" s="89" customFormat="1" ht="26.25" hidden="1">
      <c r="A24" s="98"/>
      <c r="B24" s="99"/>
      <c r="C24" s="80"/>
      <c r="D24" s="80" t="e">
        <f t="shared" si="0"/>
        <v>#DIV/0!</v>
      </c>
      <c r="E24" s="81" t="e">
        <f t="shared" si="1"/>
        <v>#DIV/0!</v>
      </c>
      <c r="F24" s="81"/>
      <c r="G24" s="81" t="e">
        <f t="shared" si="2"/>
        <v>#DIV/0!</v>
      </c>
      <c r="H24" s="81"/>
      <c r="I24" s="80" t="e">
        <f t="shared" si="10"/>
        <v>#DIV/0!</v>
      </c>
      <c r="J24" s="81"/>
      <c r="K24" s="80" t="e">
        <f t="shared" si="3"/>
        <v>#DIV/0!</v>
      </c>
      <c r="L24" s="80" t="e">
        <f t="shared" si="12"/>
        <v>#DIV/0!</v>
      </c>
      <c r="M24" s="80" t="e">
        <f t="shared" si="5"/>
        <v>#DIV/0!</v>
      </c>
      <c r="N24" s="82" t="e">
        <f t="shared" si="6"/>
        <v>#DIV/0!</v>
      </c>
      <c r="O24" s="85"/>
      <c r="P24" s="85"/>
      <c r="Q24" s="85" t="e">
        <f t="shared" si="7"/>
        <v>#DIV/0!</v>
      </c>
      <c r="R24" s="86" t="s">
        <v>6</v>
      </c>
      <c r="S24" s="80" t="e">
        <f t="shared" si="13"/>
        <v>#DIV/0!</v>
      </c>
      <c r="T24" s="87" t="s">
        <v>6</v>
      </c>
      <c r="U24" s="80" t="e">
        <f t="shared" si="11"/>
        <v>#DIV/0!</v>
      </c>
      <c r="V24" s="80" t="e">
        <f t="shared" si="8"/>
        <v>#DIV/0!</v>
      </c>
      <c r="W24" s="81" t="e">
        <f t="shared" si="9"/>
        <v>#DIV/0!</v>
      </c>
      <c r="AA24" s="90"/>
    </row>
    <row r="25" spans="1:29" s="89" customFormat="1" ht="26.25" hidden="1">
      <c r="A25" s="98"/>
      <c r="B25" s="99"/>
      <c r="C25" s="80"/>
      <c r="D25" s="80" t="e">
        <f t="shared" si="0"/>
        <v>#DIV/0!</v>
      </c>
      <c r="E25" s="81" t="e">
        <f t="shared" si="1"/>
        <v>#DIV/0!</v>
      </c>
      <c r="F25" s="81"/>
      <c r="G25" s="81" t="e">
        <f t="shared" si="2"/>
        <v>#DIV/0!</v>
      </c>
      <c r="H25" s="81"/>
      <c r="I25" s="80" t="e">
        <f t="shared" si="10"/>
        <v>#DIV/0!</v>
      </c>
      <c r="J25" s="81"/>
      <c r="K25" s="80" t="e">
        <f t="shared" si="3"/>
        <v>#DIV/0!</v>
      </c>
      <c r="L25" s="80" t="e">
        <f t="shared" si="12"/>
        <v>#DIV/0!</v>
      </c>
      <c r="M25" s="80" t="e">
        <f t="shared" si="5"/>
        <v>#DIV/0!</v>
      </c>
      <c r="N25" s="82" t="e">
        <f t="shared" si="6"/>
        <v>#DIV/0!</v>
      </c>
      <c r="O25" s="85"/>
      <c r="P25" s="85"/>
      <c r="Q25" s="85" t="e">
        <f t="shared" si="7"/>
        <v>#DIV/0!</v>
      </c>
      <c r="R25" s="86" t="s">
        <v>6</v>
      </c>
      <c r="S25" s="80" t="e">
        <f t="shared" si="13"/>
        <v>#DIV/0!</v>
      </c>
      <c r="T25" s="87" t="s">
        <v>6</v>
      </c>
      <c r="U25" s="80" t="e">
        <f t="shared" si="11"/>
        <v>#DIV/0!</v>
      </c>
      <c r="V25" s="80" t="e">
        <f t="shared" si="8"/>
        <v>#DIV/0!</v>
      </c>
      <c r="W25" s="81" t="e">
        <f t="shared" si="9"/>
        <v>#DIV/0!</v>
      </c>
      <c r="AA25" s="90"/>
    </row>
    <row r="26" spans="1:29" s="89" customFormat="1" ht="26.25" hidden="1">
      <c r="A26" s="98"/>
      <c r="B26" s="99"/>
      <c r="C26" s="80"/>
      <c r="D26" s="80" t="e">
        <f t="shared" si="0"/>
        <v>#DIV/0!</v>
      </c>
      <c r="E26" s="81" t="e">
        <f t="shared" si="1"/>
        <v>#DIV/0!</v>
      </c>
      <c r="F26" s="81"/>
      <c r="G26" s="81" t="e">
        <f t="shared" si="2"/>
        <v>#DIV/0!</v>
      </c>
      <c r="H26" s="81"/>
      <c r="I26" s="80" t="e">
        <f t="shared" si="10"/>
        <v>#DIV/0!</v>
      </c>
      <c r="J26" s="81"/>
      <c r="K26" s="80" t="e">
        <f t="shared" si="3"/>
        <v>#DIV/0!</v>
      </c>
      <c r="L26" s="80" t="e">
        <f t="shared" si="12"/>
        <v>#DIV/0!</v>
      </c>
      <c r="M26" s="80" t="e">
        <f t="shared" si="5"/>
        <v>#DIV/0!</v>
      </c>
      <c r="N26" s="82" t="e">
        <f t="shared" si="6"/>
        <v>#DIV/0!</v>
      </c>
      <c r="O26" s="85"/>
      <c r="P26" s="85"/>
      <c r="Q26" s="85" t="e">
        <f t="shared" si="7"/>
        <v>#DIV/0!</v>
      </c>
      <c r="R26" s="86" t="s">
        <v>6</v>
      </c>
      <c r="S26" s="80" t="e">
        <f t="shared" si="13"/>
        <v>#DIV/0!</v>
      </c>
      <c r="T26" s="87" t="s">
        <v>6</v>
      </c>
      <c r="U26" s="80" t="e">
        <f t="shared" si="11"/>
        <v>#DIV/0!</v>
      </c>
      <c r="V26" s="80" t="e">
        <f t="shared" si="8"/>
        <v>#DIV/0!</v>
      </c>
      <c r="W26" s="81" t="e">
        <f t="shared" si="9"/>
        <v>#DIV/0!</v>
      </c>
      <c r="AA26" s="90"/>
    </row>
    <row r="27" spans="1:29" s="89" customFormat="1" ht="26.25" hidden="1">
      <c r="A27" s="98"/>
      <c r="B27" s="99"/>
      <c r="C27" s="80"/>
      <c r="D27" s="80" t="e">
        <f t="shared" si="0"/>
        <v>#DIV/0!</v>
      </c>
      <c r="E27" s="81" t="e">
        <f t="shared" si="1"/>
        <v>#DIV/0!</v>
      </c>
      <c r="F27" s="81"/>
      <c r="G27" s="81" t="e">
        <f t="shared" si="2"/>
        <v>#DIV/0!</v>
      </c>
      <c r="H27" s="81"/>
      <c r="I27" s="80" t="e">
        <f t="shared" si="10"/>
        <v>#DIV/0!</v>
      </c>
      <c r="J27" s="81"/>
      <c r="K27" s="80" t="e">
        <f t="shared" si="3"/>
        <v>#DIV/0!</v>
      </c>
      <c r="L27" s="80" t="e">
        <f t="shared" si="12"/>
        <v>#DIV/0!</v>
      </c>
      <c r="M27" s="80" t="e">
        <f t="shared" si="5"/>
        <v>#DIV/0!</v>
      </c>
      <c r="N27" s="82" t="e">
        <f t="shared" si="6"/>
        <v>#DIV/0!</v>
      </c>
      <c r="O27" s="85"/>
      <c r="P27" s="85"/>
      <c r="Q27" s="85" t="e">
        <f t="shared" si="7"/>
        <v>#DIV/0!</v>
      </c>
      <c r="R27" s="86" t="s">
        <v>6</v>
      </c>
      <c r="S27" s="80" t="e">
        <f t="shared" si="13"/>
        <v>#DIV/0!</v>
      </c>
      <c r="T27" s="87" t="s">
        <v>6</v>
      </c>
      <c r="U27" s="80" t="e">
        <f t="shared" si="11"/>
        <v>#DIV/0!</v>
      </c>
      <c r="V27" s="80" t="e">
        <f t="shared" si="8"/>
        <v>#DIV/0!</v>
      </c>
      <c r="W27" s="81" t="e">
        <f t="shared" si="9"/>
        <v>#DIV/0!</v>
      </c>
      <c r="AA27" s="90"/>
    </row>
    <row r="28" spans="1:29" s="89" customFormat="1" ht="26.25" hidden="1">
      <c r="A28" s="98"/>
      <c r="B28" s="99"/>
      <c r="C28" s="80"/>
      <c r="D28" s="80" t="e">
        <f t="shared" si="0"/>
        <v>#DIV/0!</v>
      </c>
      <c r="E28" s="81" t="e">
        <f t="shared" si="1"/>
        <v>#DIV/0!</v>
      </c>
      <c r="F28" s="81"/>
      <c r="G28" s="81" t="e">
        <f t="shared" si="2"/>
        <v>#DIV/0!</v>
      </c>
      <c r="H28" s="81"/>
      <c r="I28" s="80" t="e">
        <f t="shared" si="10"/>
        <v>#DIV/0!</v>
      </c>
      <c r="J28" s="81"/>
      <c r="K28" s="80" t="e">
        <f t="shared" si="3"/>
        <v>#DIV/0!</v>
      </c>
      <c r="L28" s="80" t="e">
        <f t="shared" si="12"/>
        <v>#DIV/0!</v>
      </c>
      <c r="M28" s="80" t="e">
        <f t="shared" si="5"/>
        <v>#DIV/0!</v>
      </c>
      <c r="N28" s="82" t="e">
        <f t="shared" si="6"/>
        <v>#DIV/0!</v>
      </c>
      <c r="O28" s="85"/>
      <c r="P28" s="85"/>
      <c r="Q28" s="85" t="e">
        <f t="shared" si="7"/>
        <v>#DIV/0!</v>
      </c>
      <c r="R28" s="86" t="s">
        <v>6</v>
      </c>
      <c r="S28" s="80" t="e">
        <f t="shared" si="13"/>
        <v>#DIV/0!</v>
      </c>
      <c r="T28" s="87" t="s">
        <v>6</v>
      </c>
      <c r="U28" s="80" t="e">
        <f t="shared" si="11"/>
        <v>#DIV/0!</v>
      </c>
      <c r="V28" s="80" t="e">
        <f t="shared" si="8"/>
        <v>#DIV/0!</v>
      </c>
      <c r="W28" s="81" t="e">
        <f t="shared" si="9"/>
        <v>#DIV/0!</v>
      </c>
      <c r="AA28" s="90"/>
    </row>
    <row r="29" spans="1:29" s="107" customFormat="1" ht="55.5" customHeight="1">
      <c r="A29" s="100" t="s">
        <v>20</v>
      </c>
      <c r="B29" s="101">
        <f>SUM(B5:B28)</f>
        <v>15.507</v>
      </c>
      <c r="C29" s="102">
        <f>SUM(C5:C28)</f>
        <v>39908.854999999996</v>
      </c>
      <c r="D29" s="102">
        <f>C29/B29</f>
        <v>2573.6025665828333</v>
      </c>
      <c r="E29" s="103">
        <f>D29/D29</f>
        <v>1</v>
      </c>
      <c r="F29" s="103">
        <v>1</v>
      </c>
      <c r="G29" s="103">
        <f>E29/F29</f>
        <v>1</v>
      </c>
      <c r="H29" s="103">
        <f>SUM(H5:H28)/2</f>
        <v>0.84650000000000003</v>
      </c>
      <c r="I29" s="102">
        <f>SUM(I5:I10)</f>
        <v>5508.6564527244964</v>
      </c>
      <c r="J29" s="103">
        <v>0.4</v>
      </c>
      <c r="K29" s="102">
        <f>SUM(K5:K10)</f>
        <v>2203.4625810897987</v>
      </c>
      <c r="L29" s="102">
        <f>SUM(L5:L10)</f>
        <v>50625.717581089812</v>
      </c>
      <c r="M29" s="102">
        <f>L29/B29</f>
        <v>3264.7009467395251</v>
      </c>
      <c r="N29" s="104">
        <v>1</v>
      </c>
      <c r="O29" s="105">
        <f>SUM(O5:O28)</f>
        <v>38718.1</v>
      </c>
      <c r="P29" s="106">
        <f>SUM(P5:P28)</f>
        <v>9704.1549999999988</v>
      </c>
      <c r="Q29" s="105">
        <f>(O29+P29)/B29</f>
        <v>3122.6062423421681</v>
      </c>
      <c r="R29" s="105">
        <v>1</v>
      </c>
      <c r="S29" s="102">
        <f>SUM(S5:S10)</f>
        <v>7711.8399202376422</v>
      </c>
      <c r="T29" s="102">
        <v>10649.7</v>
      </c>
      <c r="U29" s="102">
        <f>SUM(U5:U10)</f>
        <v>8446.2374189102011</v>
      </c>
      <c r="V29" s="80">
        <f t="shared" si="8"/>
        <v>10649.7</v>
      </c>
      <c r="W29" s="102">
        <f>SUM(W5:W10)/6</f>
        <v>1.1240709074951267</v>
      </c>
      <c r="AA29" s="90"/>
      <c r="AC29" s="108">
        <f>AC6+AC7+AC8</f>
        <v>-4307.9530755810056</v>
      </c>
    </row>
    <row r="30" spans="1:29" s="93" customFormat="1" ht="26.25">
      <c r="S30" s="109"/>
      <c r="T30" s="109"/>
    </row>
    <row r="31" spans="1:29" s="93" customFormat="1" ht="26.25">
      <c r="G31" s="110"/>
      <c r="K31" s="110"/>
    </row>
    <row r="32" spans="1:29" s="93" customFormat="1" ht="150.75" hidden="1" thickBot="1">
      <c r="A32" s="111"/>
      <c r="B32" s="112" t="s">
        <v>21</v>
      </c>
      <c r="C32" s="112" t="s">
        <v>22</v>
      </c>
      <c r="G32" s="110"/>
      <c r="H32" s="110"/>
      <c r="N32" s="110"/>
      <c r="O32" s="110"/>
      <c r="P32" s="110" t="s">
        <v>21</v>
      </c>
      <c r="Q32" s="113" t="s">
        <v>22</v>
      </c>
      <c r="R32" s="110"/>
      <c r="W32" s="110"/>
    </row>
    <row r="33" spans="7:23" s="114" customFormat="1" ht="26.25">
      <c r="G33" s="115"/>
      <c r="H33" s="115"/>
      <c r="N33" s="115"/>
      <c r="O33" s="115"/>
      <c r="P33" s="115"/>
      <c r="Q33" s="115"/>
      <c r="R33" s="115"/>
      <c r="W33" s="115"/>
    </row>
    <row r="34" spans="7:23" s="114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G18"/>
  <sheetViews>
    <sheetView workbookViewId="0">
      <selection activeCell="B3" sqref="B3"/>
    </sheetView>
  </sheetViews>
  <sheetFormatPr defaultColWidth="9.140625" defaultRowHeight="15"/>
  <cols>
    <col min="1" max="1" width="22.7109375" style="11" bestFit="1" customWidth="1"/>
    <col min="2" max="6" width="18.85546875" style="11" customWidth="1"/>
    <col min="7" max="16384" width="9.140625" style="11"/>
  </cols>
  <sheetData>
    <row r="1" spans="1:7" ht="16.5">
      <c r="A1" s="57" t="s">
        <v>79</v>
      </c>
      <c r="B1" s="57"/>
      <c r="C1" s="57"/>
      <c r="D1" s="57"/>
      <c r="E1" s="57"/>
      <c r="F1" s="57"/>
    </row>
    <row r="3" spans="1:7" ht="94.5">
      <c r="A3" s="12" t="s">
        <v>0</v>
      </c>
      <c r="B3" s="12" t="s">
        <v>53</v>
      </c>
      <c r="C3" s="12" t="s">
        <v>54</v>
      </c>
      <c r="D3" s="12" t="s">
        <v>55</v>
      </c>
      <c r="E3" s="12" t="s">
        <v>56</v>
      </c>
      <c r="F3" s="12" t="s">
        <v>80</v>
      </c>
    </row>
    <row r="4" spans="1:7" ht="15.75">
      <c r="A4" s="12"/>
      <c r="B4" s="12">
        <v>1</v>
      </c>
      <c r="C4" s="12">
        <v>2</v>
      </c>
      <c r="D4" s="12">
        <v>3</v>
      </c>
      <c r="E4" s="12">
        <v>4</v>
      </c>
      <c r="F4" s="13">
        <v>5</v>
      </c>
    </row>
    <row r="5" spans="1:7" ht="15.75">
      <c r="A5" s="14" t="s">
        <v>57</v>
      </c>
      <c r="B5" s="116">
        <v>15797.4</v>
      </c>
      <c r="C5" s="116">
        <v>1309.7</v>
      </c>
      <c r="D5" s="116">
        <v>2795.9</v>
      </c>
      <c r="E5" s="117">
        <f>'за счет субвенций'!F3</f>
        <v>4531.9849999999997</v>
      </c>
      <c r="F5" s="118">
        <f t="shared" ref="F5:F10" si="0">SUM(B5:E5)</f>
        <v>24434.985000000001</v>
      </c>
      <c r="G5" s="119"/>
    </row>
    <row r="6" spans="1:7" ht="15.75">
      <c r="A6" s="14" t="s">
        <v>58</v>
      </c>
      <c r="B6" s="116">
        <v>252.1</v>
      </c>
      <c r="C6" s="116">
        <v>65.5</v>
      </c>
      <c r="D6" s="116">
        <v>557</v>
      </c>
      <c r="E6" s="117">
        <f>'за счет субвенций'!F4</f>
        <v>776.6</v>
      </c>
      <c r="F6" s="118">
        <f>SUM(B6:E6)</f>
        <v>1651.2</v>
      </c>
      <c r="G6" s="119"/>
    </row>
    <row r="7" spans="1:7" ht="15.75">
      <c r="A7" s="14" t="s">
        <v>59</v>
      </c>
      <c r="B7" s="116">
        <v>869.7</v>
      </c>
      <c r="C7" s="116">
        <v>71.3</v>
      </c>
      <c r="D7" s="116">
        <v>432.6</v>
      </c>
      <c r="E7" s="117">
        <f>'за счет субвенций'!F5</f>
        <v>749.7</v>
      </c>
      <c r="F7" s="118">
        <f>SUM(B7:E7)</f>
        <v>2123.3000000000002</v>
      </c>
      <c r="G7" s="119"/>
    </row>
    <row r="8" spans="1:7" ht="15.75">
      <c r="A8" s="14" t="s">
        <v>60</v>
      </c>
      <c r="B8" s="116">
        <v>329.1</v>
      </c>
      <c r="C8" s="116">
        <v>52.6</v>
      </c>
      <c r="D8" s="116">
        <v>189.3</v>
      </c>
      <c r="E8" s="117">
        <f>'за счет субвенций'!F6</f>
        <v>730.3</v>
      </c>
      <c r="F8" s="118">
        <f t="shared" si="0"/>
        <v>1301.3</v>
      </c>
      <c r="G8" s="119"/>
    </row>
    <row r="9" spans="1:7" ht="15.75">
      <c r="A9" s="14" t="s">
        <v>61</v>
      </c>
      <c r="B9" s="116">
        <v>1133.4000000000001</v>
      </c>
      <c r="C9" s="116">
        <v>836.5</v>
      </c>
      <c r="D9" s="116">
        <v>2987.4</v>
      </c>
      <c r="E9" s="117">
        <f>'за счет субвенций'!F7</f>
        <v>1773.5</v>
      </c>
      <c r="F9" s="118">
        <f t="shared" si="0"/>
        <v>6730.8</v>
      </c>
      <c r="G9" s="119"/>
    </row>
    <row r="10" spans="1:7" ht="15.75">
      <c r="A10" s="14" t="s">
        <v>62</v>
      </c>
      <c r="B10" s="116">
        <v>1359.9</v>
      </c>
      <c r="C10" s="116">
        <v>239.5</v>
      </c>
      <c r="D10" s="116">
        <v>925.8</v>
      </c>
      <c r="E10" s="117">
        <f>'за счет субвенций'!F8</f>
        <v>1142.07</v>
      </c>
      <c r="F10" s="118">
        <f t="shared" si="0"/>
        <v>3667.2699999999995</v>
      </c>
      <c r="G10" s="119"/>
    </row>
    <row r="11" spans="1:7" ht="15.75">
      <c r="A11" s="14"/>
      <c r="B11" s="116"/>
      <c r="C11" s="116"/>
      <c r="D11" s="116"/>
      <c r="E11" s="120"/>
      <c r="F11" s="118"/>
      <c r="G11" s="119"/>
    </row>
    <row r="12" spans="1:7" ht="15.75">
      <c r="A12" s="12" t="s">
        <v>20</v>
      </c>
      <c r="B12" s="121">
        <f>SUM(B5:B11)</f>
        <v>19741.600000000002</v>
      </c>
      <c r="C12" s="122">
        <f>SUM(C5:C11)</f>
        <v>2575.1</v>
      </c>
      <c r="D12" s="122">
        <f>SUM(D5:D11)</f>
        <v>7888.0000000000009</v>
      </c>
      <c r="E12" s="122">
        <f>SUM(E5:E11)</f>
        <v>9704.1549999999988</v>
      </c>
      <c r="F12" s="122">
        <f>SUM(F5:F11)</f>
        <v>39908.854999999996</v>
      </c>
      <c r="G12" s="119"/>
    </row>
    <row r="13" spans="1:7" ht="15.75">
      <c r="A13" s="15"/>
      <c r="B13" s="123"/>
      <c r="C13" s="123"/>
      <c r="D13" s="123"/>
      <c r="E13" s="123"/>
      <c r="F13" s="123"/>
      <c r="G13" s="119"/>
    </row>
    <row r="14" spans="1:7" ht="15.75">
      <c r="A14" s="16"/>
      <c r="B14" s="123"/>
      <c r="C14" s="123"/>
      <c r="D14" s="123"/>
      <c r="E14" s="123"/>
      <c r="F14" s="123"/>
      <c r="G14" s="119"/>
    </row>
    <row r="15" spans="1:7" ht="15.75">
      <c r="A15" s="17"/>
      <c r="B15" s="124"/>
      <c r="C15" s="124"/>
      <c r="D15" s="124"/>
      <c r="E15" s="124"/>
      <c r="F15" s="124"/>
      <c r="G15" s="119"/>
    </row>
    <row r="16" spans="1:7" ht="15.75">
      <c r="A16" s="16"/>
      <c r="B16" s="16"/>
      <c r="C16" s="16"/>
      <c r="D16" s="16"/>
      <c r="E16" s="16"/>
      <c r="F16" s="16"/>
    </row>
    <row r="17" spans="1:6" ht="15.75">
      <c r="A17" s="16"/>
      <c r="B17" s="16"/>
      <c r="C17" s="16"/>
      <c r="D17" s="16"/>
      <c r="E17" s="16"/>
      <c r="F17" s="16"/>
    </row>
    <row r="18" spans="1:6" ht="15.75">
      <c r="A18" s="16"/>
      <c r="B18" s="16"/>
      <c r="C18" s="16"/>
      <c r="D18" s="16"/>
      <c r="E18" s="16"/>
      <c r="F18" s="16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18"/>
  <sheetViews>
    <sheetView workbookViewId="0">
      <selection activeCell="H3" sqref="H3"/>
    </sheetView>
  </sheetViews>
  <sheetFormatPr defaultColWidth="9.140625" defaultRowHeight="15"/>
  <cols>
    <col min="1" max="1" width="22.7109375" style="24" bestFit="1" customWidth="1"/>
    <col min="2" max="9" width="17.5703125" style="24" customWidth="1"/>
    <col min="10" max="16384" width="9.140625" style="24"/>
  </cols>
  <sheetData>
    <row r="1" spans="1:14" ht="15.75">
      <c r="A1" s="58" t="s">
        <v>81</v>
      </c>
      <c r="B1" s="58"/>
      <c r="C1" s="58"/>
      <c r="D1" s="58"/>
      <c r="E1" s="58"/>
      <c r="F1" s="58"/>
      <c r="G1" s="58"/>
      <c r="H1" s="58"/>
      <c r="I1" s="24" t="s">
        <v>44</v>
      </c>
    </row>
    <row r="2" spans="1:14" ht="15.75">
      <c r="A2" s="58"/>
      <c r="B2" s="58"/>
      <c r="C2" s="58"/>
      <c r="D2" s="58"/>
      <c r="E2" s="58"/>
      <c r="F2" s="58"/>
      <c r="G2" s="58"/>
      <c r="H2" s="58"/>
    </row>
    <row r="3" spans="1:14" ht="157.5">
      <c r="A3" s="10" t="s">
        <v>45</v>
      </c>
      <c r="B3" s="10" t="s">
        <v>75</v>
      </c>
      <c r="C3" s="10" t="s">
        <v>46</v>
      </c>
      <c r="D3" s="10" t="s">
        <v>47</v>
      </c>
      <c r="E3" s="10" t="s">
        <v>48</v>
      </c>
      <c r="F3" s="10" t="s">
        <v>49</v>
      </c>
      <c r="G3" s="10" t="s">
        <v>50</v>
      </c>
      <c r="H3" s="10" t="s">
        <v>51</v>
      </c>
      <c r="I3" s="10" t="s">
        <v>52</v>
      </c>
      <c r="J3" s="22"/>
      <c r="K3" s="22"/>
      <c r="M3" s="22"/>
      <c r="N3" s="22"/>
    </row>
    <row r="4" spans="1:14" ht="15.75">
      <c r="A4" s="10">
        <v>1</v>
      </c>
      <c r="B4" s="10">
        <v>2</v>
      </c>
      <c r="C4" s="10">
        <v>3</v>
      </c>
      <c r="D4" s="10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</row>
    <row r="5" spans="1:14" ht="15.75">
      <c r="A5" s="26" t="s">
        <v>57</v>
      </c>
      <c r="B5" s="51">
        <v>7.242</v>
      </c>
      <c r="C5" s="54"/>
      <c r="D5" s="52">
        <f>SUM((0.6*B5+0.4*C12)/B5)</f>
        <v>0.74275062137531078</v>
      </c>
      <c r="E5" s="52">
        <v>1.456</v>
      </c>
      <c r="F5" s="52">
        <f>SUM(E5/B5)</f>
        <v>0.20104943385805027</v>
      </c>
      <c r="G5" s="52">
        <f>SUM(1+F5)</f>
        <v>1.2010494338580502</v>
      </c>
      <c r="H5" s="48">
        <v>2871</v>
      </c>
      <c r="I5" s="56">
        <f>SUM((H5/B5)/(H12/B12))</f>
        <v>1.1237648312819222</v>
      </c>
    </row>
    <row r="6" spans="1:14" ht="15.75">
      <c r="A6" s="26" t="s">
        <v>58</v>
      </c>
      <c r="B6" s="51">
        <v>1.2410000000000001</v>
      </c>
      <c r="C6" s="54"/>
      <c r="D6" s="52">
        <f>SUM((0.6*B6+0.4*C12)/B6)</f>
        <v>1.4330378726833197</v>
      </c>
      <c r="E6" s="52">
        <v>0.67100000000000004</v>
      </c>
      <c r="F6" s="52">
        <f t="shared" ref="F6:F12" si="0">SUM(E6/B6)</f>
        <v>0.54069298952457689</v>
      </c>
      <c r="G6" s="52">
        <f t="shared" ref="G6:G12" si="1">SUM(1+F6)</f>
        <v>1.5406929895245769</v>
      </c>
      <c r="H6" s="48">
        <v>365</v>
      </c>
      <c r="I6" s="56">
        <f>SUM((H6/B6)/(H12/B12))</f>
        <v>0.83372312456652509</v>
      </c>
      <c r="J6" s="38"/>
      <c r="L6" s="37"/>
      <c r="M6" s="37"/>
      <c r="N6" s="37"/>
    </row>
    <row r="7" spans="1:14" ht="15.75">
      <c r="A7" s="26" t="s">
        <v>59</v>
      </c>
      <c r="B7" s="51">
        <v>1.198</v>
      </c>
      <c r="C7" s="54"/>
      <c r="D7" s="52">
        <f>SUM((0.6*B7+0.4*C12)/B7)</f>
        <v>1.4629382303839735</v>
      </c>
      <c r="E7" s="52">
        <v>2.5000000000000001E-2</v>
      </c>
      <c r="F7" s="52">
        <f t="shared" si="0"/>
        <v>2.0868113522537566E-2</v>
      </c>
      <c r="G7" s="52">
        <f>SUM(1+F7)</f>
        <v>1.0208681135225375</v>
      </c>
      <c r="H7" s="48">
        <v>557</v>
      </c>
      <c r="I7" s="56">
        <f>SUM((H7/B7)/(H12/B12))</f>
        <v>1.3179506288014071</v>
      </c>
      <c r="J7" s="38"/>
      <c r="L7" s="39"/>
      <c r="M7" s="39"/>
    </row>
    <row r="8" spans="1:14" ht="15.75">
      <c r="A8" s="26" t="s">
        <v>60</v>
      </c>
      <c r="B8" s="51">
        <v>1.167</v>
      </c>
      <c r="C8" s="54"/>
      <c r="D8" s="52">
        <f>SUM((0.6*B8+0.4*C12)/B8)</f>
        <v>1.4858611825192802</v>
      </c>
      <c r="E8" s="52">
        <v>1.167</v>
      </c>
      <c r="F8" s="52">
        <f t="shared" si="0"/>
        <v>1</v>
      </c>
      <c r="G8" s="52">
        <f t="shared" si="1"/>
        <v>2</v>
      </c>
      <c r="H8" s="48">
        <v>389</v>
      </c>
      <c r="I8" s="56">
        <f>SUM((H8/B8)/(H12/B12))</f>
        <v>0.9448862078420619</v>
      </c>
      <c r="J8" s="38"/>
    </row>
    <row r="9" spans="1:14" ht="15.75">
      <c r="A9" s="26" t="s">
        <v>61</v>
      </c>
      <c r="B9" s="51">
        <v>2.8340000000000001</v>
      </c>
      <c r="C9" s="54"/>
      <c r="D9" s="52">
        <f>SUM((0.6*B9+0.4*C12)/B9)</f>
        <v>0.96478475652787576</v>
      </c>
      <c r="E9" s="52">
        <v>0.63900000000000001</v>
      </c>
      <c r="F9" s="52">
        <f t="shared" si="0"/>
        <v>0.22547635850388142</v>
      </c>
      <c r="G9" s="52">
        <f>SUM(1+F9)</f>
        <v>1.2254763585038815</v>
      </c>
      <c r="H9" s="48">
        <v>754</v>
      </c>
      <c r="I9" s="56">
        <f>SUM((H9/B9)/(H12/B12))</f>
        <v>0.75417523011247145</v>
      </c>
      <c r="J9" s="38"/>
    </row>
    <row r="10" spans="1:14" ht="15.75">
      <c r="A10" s="26" t="s">
        <v>62</v>
      </c>
      <c r="B10" s="53">
        <v>1.825</v>
      </c>
      <c r="C10" s="54"/>
      <c r="D10" s="52">
        <f>SUM((0.6*B10+0.4*C12)/B10)</f>
        <v>1.1664657534246576</v>
      </c>
      <c r="E10" s="52">
        <v>8.1000000000000003E-2</v>
      </c>
      <c r="F10" s="52">
        <f t="shared" si="0"/>
        <v>4.4383561643835619E-2</v>
      </c>
      <c r="G10" s="52">
        <f t="shared" si="1"/>
        <v>1.0443835616438357</v>
      </c>
      <c r="H10" s="48">
        <v>534.5</v>
      </c>
      <c r="I10" s="56">
        <f>SUM((H10/B10)/(H12/B12))</f>
        <v>0.83020549823273782</v>
      </c>
      <c r="J10" s="38"/>
    </row>
    <row r="11" spans="1:14" ht="15.75">
      <c r="A11" s="28"/>
      <c r="B11" s="54"/>
      <c r="C11" s="54"/>
      <c r="D11" s="52"/>
      <c r="E11" s="52"/>
      <c r="F11" s="52"/>
      <c r="G11" s="52"/>
      <c r="H11" s="48"/>
      <c r="I11" s="56"/>
    </row>
    <row r="12" spans="1:14" ht="15.75">
      <c r="A12" s="10" t="s">
        <v>20</v>
      </c>
      <c r="B12" s="29">
        <f>SUM(B5:B11)</f>
        <v>15.507</v>
      </c>
      <c r="C12" s="30">
        <f>SUM(B12/6)</f>
        <v>2.5844999999999998</v>
      </c>
      <c r="D12" s="27">
        <v>1</v>
      </c>
      <c r="E12" s="31">
        <f>SUM(E5:E10)</f>
        <v>4.0390000000000006</v>
      </c>
      <c r="F12" s="31">
        <f t="shared" si="0"/>
        <v>0.26046301670213456</v>
      </c>
      <c r="G12" s="31">
        <f t="shared" si="1"/>
        <v>1.2604630167021345</v>
      </c>
      <c r="H12" s="30">
        <f>SUM(H5:H10)</f>
        <v>5470.5</v>
      </c>
      <c r="I12" s="32">
        <f>SUM((H12/B12)/(H12/B12))</f>
        <v>1</v>
      </c>
    </row>
    <row r="13" spans="1:14" ht="15.75">
      <c r="A13" s="33"/>
      <c r="B13" s="34"/>
      <c r="C13" s="34"/>
      <c r="D13" s="35"/>
      <c r="E13" s="34"/>
      <c r="F13" s="34"/>
      <c r="G13" s="34"/>
      <c r="H13" s="34"/>
      <c r="I13" s="36"/>
    </row>
    <row r="14" spans="1:14" ht="0.75" customHeight="1">
      <c r="A14" s="34"/>
      <c r="B14" s="34"/>
      <c r="C14" s="34"/>
      <c r="D14" s="34"/>
      <c r="E14" s="34"/>
      <c r="F14" s="59"/>
      <c r="G14" s="59"/>
      <c r="H14" s="36"/>
    </row>
    <row r="15" spans="1:14" ht="15.75" hidden="1">
      <c r="A15" s="34"/>
      <c r="B15" s="34"/>
      <c r="C15" s="34"/>
      <c r="D15" s="34"/>
      <c r="E15" s="34"/>
      <c r="F15" s="34"/>
      <c r="G15" s="34"/>
      <c r="H15" s="24" t="s">
        <v>72</v>
      </c>
    </row>
    <row r="16" spans="1:14" ht="15.75" hidden="1">
      <c r="A16" s="34"/>
      <c r="B16" s="34"/>
      <c r="C16" s="34"/>
      <c r="D16" s="34"/>
      <c r="E16" s="34"/>
      <c r="F16" s="34"/>
      <c r="G16" s="34"/>
      <c r="H16" s="24" t="s">
        <v>73</v>
      </c>
    </row>
    <row r="17" spans="1:7" ht="15.75" hidden="1">
      <c r="A17" s="34"/>
      <c r="B17" s="34"/>
      <c r="C17" s="34"/>
      <c r="D17" s="34"/>
      <c r="E17" s="34"/>
      <c r="F17" s="34"/>
      <c r="G17" s="34"/>
    </row>
    <row r="18" spans="1:7" ht="15.75" hidden="1">
      <c r="A18" s="34"/>
      <c r="B18" s="34"/>
      <c r="C18" s="34"/>
      <c r="D18" s="34"/>
      <c r="E18" s="34"/>
      <c r="F18" s="34"/>
      <c r="G18" s="34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I1477"/>
  <sheetViews>
    <sheetView zoomScale="75" zoomScaleNormal="75" workbookViewId="0">
      <selection activeCell="K18" sqref="K18"/>
    </sheetView>
  </sheetViews>
  <sheetFormatPr defaultRowHeight="15"/>
  <cols>
    <col min="1" max="1" width="23.7109375" customWidth="1"/>
    <col min="2" max="2" width="15.28515625" bestFit="1" customWidth="1"/>
    <col min="3" max="3" width="14.140625" bestFit="1" customWidth="1"/>
    <col min="4" max="4" width="15.42578125" bestFit="1" customWidth="1"/>
    <col min="5" max="5" width="15.140625" bestFit="1" customWidth="1"/>
    <col min="6" max="6" width="15.28515625" bestFit="1" customWidth="1"/>
    <col min="7" max="7" width="14.140625" bestFit="1" customWidth="1"/>
    <col min="8" max="8" width="14.7109375" bestFit="1" customWidth="1"/>
    <col min="9" max="9" width="14.5703125" bestFit="1" customWidth="1"/>
    <col min="10" max="10" width="15.42578125" bestFit="1" customWidth="1"/>
    <col min="11" max="11" width="11.7109375" bestFit="1" customWidth="1"/>
    <col min="12" max="12" width="15.28515625" bestFit="1" customWidth="1"/>
    <col min="13" max="13" width="14.140625" bestFit="1" customWidth="1"/>
    <col min="14" max="14" width="15.5703125" bestFit="1" customWidth="1"/>
    <col min="15" max="15" width="15.42578125" bestFit="1" customWidth="1"/>
    <col min="16" max="16" width="15.7109375" bestFit="1" customWidth="1"/>
    <col min="17" max="17" width="13.5703125" bestFit="1" customWidth="1"/>
    <col min="18" max="18" width="14.140625" bestFit="1" customWidth="1"/>
    <col min="19" max="19" width="15.5703125" bestFit="1" customWidth="1"/>
    <col min="20" max="20" width="15.42578125" bestFit="1" customWidth="1"/>
    <col min="21" max="22" width="16" customWidth="1"/>
    <col min="23" max="24" width="11.28515625" customWidth="1"/>
  </cols>
  <sheetData>
    <row r="2" spans="1:35" ht="15.75">
      <c r="A2" s="62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5.75">
      <c r="A3" s="63" t="s">
        <v>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.75">
      <c r="A4" s="60" t="s">
        <v>26</v>
      </c>
      <c r="B4" s="60" t="s">
        <v>27</v>
      </c>
      <c r="C4" s="65"/>
      <c r="D4" s="65"/>
      <c r="E4" s="65"/>
      <c r="F4" s="60" t="s">
        <v>28</v>
      </c>
      <c r="G4" s="65"/>
      <c r="H4" s="65"/>
      <c r="I4" s="65"/>
      <c r="J4" s="65"/>
      <c r="K4" s="65"/>
      <c r="L4" s="60" t="s">
        <v>29</v>
      </c>
      <c r="M4" s="65"/>
      <c r="N4" s="65"/>
      <c r="O4" s="65"/>
      <c r="P4" s="65"/>
      <c r="Q4" s="60" t="s">
        <v>30</v>
      </c>
      <c r="R4" s="61"/>
      <c r="S4" s="61"/>
      <c r="T4" s="61"/>
      <c r="U4" s="61"/>
      <c r="V4" s="60" t="s">
        <v>31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7.5">
      <c r="A5" s="64"/>
      <c r="B5" s="3" t="s">
        <v>32</v>
      </c>
      <c r="C5" s="10" t="s">
        <v>33</v>
      </c>
      <c r="D5" s="3" t="s">
        <v>37</v>
      </c>
      <c r="E5" s="3" t="s">
        <v>34</v>
      </c>
      <c r="F5" s="3" t="s">
        <v>35</v>
      </c>
      <c r="G5" s="3" t="s">
        <v>33</v>
      </c>
      <c r="H5" s="3" t="s">
        <v>36</v>
      </c>
      <c r="I5" s="3" t="s">
        <v>37</v>
      </c>
      <c r="J5" s="3" t="s">
        <v>38</v>
      </c>
      <c r="K5" s="3" t="s">
        <v>39</v>
      </c>
      <c r="L5" s="3" t="s">
        <v>40</v>
      </c>
      <c r="M5" s="3" t="s">
        <v>33</v>
      </c>
      <c r="N5" s="3" t="s">
        <v>36</v>
      </c>
      <c r="O5" s="3" t="s">
        <v>38</v>
      </c>
      <c r="P5" s="3" t="s">
        <v>41</v>
      </c>
      <c r="Q5" s="3" t="s">
        <v>42</v>
      </c>
      <c r="R5" s="3" t="s">
        <v>33</v>
      </c>
      <c r="S5" s="3" t="s">
        <v>36</v>
      </c>
      <c r="T5" s="3" t="s">
        <v>38</v>
      </c>
      <c r="U5" s="3" t="s">
        <v>43</v>
      </c>
      <c r="V5" s="60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>
      <c r="A6" s="4">
        <v>1</v>
      </c>
      <c r="B6" s="3">
        <v>2</v>
      </c>
      <c r="C6" s="10">
        <v>3</v>
      </c>
      <c r="D6" s="3">
        <v>4</v>
      </c>
      <c r="E6" s="3">
        <v>5</v>
      </c>
      <c r="F6" s="3">
        <v>6</v>
      </c>
      <c r="G6" s="10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10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  <c r="V6" s="3">
        <v>22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>
      <c r="A7" s="14" t="s">
        <v>57</v>
      </c>
      <c r="B7" s="50">
        <v>0.3</v>
      </c>
      <c r="C7" s="51">
        <v>7.242</v>
      </c>
      <c r="D7" s="52">
        <f>'Расчёт коэф-в'!D5</f>
        <v>0.74275062137531078</v>
      </c>
      <c r="E7" s="52">
        <f t="shared" ref="E7:E14" si="0">D7/$D$14</f>
        <v>0.74275062137531078</v>
      </c>
      <c r="F7" s="50">
        <v>0.2</v>
      </c>
      <c r="G7" s="51">
        <v>7.242</v>
      </c>
      <c r="H7" s="52">
        <f>'Расчёт коэф-в'!G5</f>
        <v>1.2010494338580502</v>
      </c>
      <c r="I7" s="52">
        <f>'Расчёт коэф-в'!D5</f>
        <v>0.74275062137531078</v>
      </c>
      <c r="J7" s="52">
        <f>'Расчёт коэф-в'!I5</f>
        <v>1.1237648312819222</v>
      </c>
      <c r="K7" s="52">
        <f t="shared" ref="K7:K12" si="1">(I7*H7*J7)/$H$14*$I$14*$J$14</f>
        <v>0.79533342676924879</v>
      </c>
      <c r="L7" s="50">
        <v>0.4</v>
      </c>
      <c r="M7" s="51">
        <v>7.242</v>
      </c>
      <c r="N7" s="52">
        <f>'Расчёт коэф-в'!G5</f>
        <v>1.2010494338580502</v>
      </c>
      <c r="O7" s="52">
        <f>'Расчёт коэф-в'!I5</f>
        <v>1.1237648312819222</v>
      </c>
      <c r="P7" s="52">
        <f>(N7*O7)/$N$14*$O$14</f>
        <v>1.0707946972788436</v>
      </c>
      <c r="Q7" s="50">
        <v>0.1</v>
      </c>
      <c r="R7" s="51">
        <v>7.242</v>
      </c>
      <c r="S7" s="52">
        <f>'Расчёт коэф-в'!G5</f>
        <v>1.2010494338580502</v>
      </c>
      <c r="T7" s="52">
        <f>'Расчёт коэф-в'!I5</f>
        <v>1.1237648312819222</v>
      </c>
      <c r="U7" s="7">
        <f t="shared" ref="U7:U12" si="2">(S7*T7)/($S$14*$T$14)</f>
        <v>1.0707946972788436</v>
      </c>
      <c r="V7" s="7">
        <f t="shared" ref="V7:V12" si="3">(B7*E7)+(F7*K7)+(L7*P7)+(Q7*U7)</f>
        <v>0.9172892204058648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.75">
      <c r="A8" s="14" t="s">
        <v>58</v>
      </c>
      <c r="B8" s="50">
        <f>B7</f>
        <v>0.3</v>
      </c>
      <c r="C8" s="51">
        <v>1.2410000000000001</v>
      </c>
      <c r="D8" s="52">
        <f>'Расчёт коэф-в'!D6</f>
        <v>1.4330378726833197</v>
      </c>
      <c r="E8" s="52">
        <f t="shared" si="0"/>
        <v>1.4330378726833197</v>
      </c>
      <c r="F8" s="50">
        <f>F7</f>
        <v>0.2</v>
      </c>
      <c r="G8" s="51">
        <v>1.2410000000000001</v>
      </c>
      <c r="H8" s="52">
        <f>'Расчёт коэф-в'!G6</f>
        <v>1.5406929895245769</v>
      </c>
      <c r="I8" s="52">
        <f>'Расчёт коэф-в'!D6</f>
        <v>1.4330378726833197</v>
      </c>
      <c r="J8" s="52">
        <f>'Расчёт коэф-в'!I6</f>
        <v>0.83372312456652509</v>
      </c>
      <c r="K8" s="52">
        <f t="shared" si="1"/>
        <v>1.4603787825039312</v>
      </c>
      <c r="L8" s="50">
        <f>L7</f>
        <v>0.4</v>
      </c>
      <c r="M8" s="51">
        <v>1.2410000000000001</v>
      </c>
      <c r="N8" s="52">
        <f>'Расчёт коэф-в'!G6</f>
        <v>1.5406929895245769</v>
      </c>
      <c r="O8" s="52">
        <f>'Расчёт коэф-в'!I6</f>
        <v>0.83372312456652509</v>
      </c>
      <c r="P8" s="52">
        <f t="shared" ref="P8:P14" si="4">(N8*O8)/$N$14*$O$14</f>
        <v>1.0190789862164749</v>
      </c>
      <c r="Q8" s="50">
        <f>Q7</f>
        <v>0.1</v>
      </c>
      <c r="R8" s="51">
        <v>1.2410000000000001</v>
      </c>
      <c r="S8" s="52">
        <f>'Расчёт коэф-в'!G6</f>
        <v>1.5406929895245769</v>
      </c>
      <c r="T8" s="52">
        <f>'Расчёт коэф-в'!I6</f>
        <v>0.83372312456652509</v>
      </c>
      <c r="U8" s="7">
        <f>(S8*T8)/($S$14*$T$14)</f>
        <v>1.0190789862164749</v>
      </c>
      <c r="V8" s="7">
        <f t="shared" si="3"/>
        <v>1.2315266114140198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5.75">
      <c r="A9" s="14" t="s">
        <v>59</v>
      </c>
      <c r="B9" s="50">
        <f>B7</f>
        <v>0.3</v>
      </c>
      <c r="C9" s="51">
        <v>1.198</v>
      </c>
      <c r="D9" s="52">
        <f>'Расчёт коэф-в'!D7</f>
        <v>1.4629382303839735</v>
      </c>
      <c r="E9" s="52">
        <f t="shared" si="0"/>
        <v>1.4629382303839735</v>
      </c>
      <c r="F9" s="50">
        <f>F7</f>
        <v>0.2</v>
      </c>
      <c r="G9" s="51">
        <v>1.198</v>
      </c>
      <c r="H9" s="52">
        <f>'Расчёт коэф-в'!G7</f>
        <v>1.0208681135225375</v>
      </c>
      <c r="I9" s="52">
        <f>'Расчёт коэф-в'!D7</f>
        <v>1.4629382303839735</v>
      </c>
      <c r="J9" s="52">
        <f>'Расчёт коэф-в'!I7</f>
        <v>1.3179506288014071</v>
      </c>
      <c r="K9" s="52">
        <f t="shared" si="1"/>
        <v>1.5615815255161622</v>
      </c>
      <c r="L9" s="50">
        <f>L7</f>
        <v>0.4</v>
      </c>
      <c r="M9" s="51">
        <v>1.198</v>
      </c>
      <c r="N9" s="52">
        <f>'Расчёт коэф-в'!G7</f>
        <v>1.0208681135225375</v>
      </c>
      <c r="O9" s="52">
        <f>'Расчёт коэф-в'!I7</f>
        <v>1.3179506288014071</v>
      </c>
      <c r="P9" s="52">
        <f t="shared" si="4"/>
        <v>1.067428202424034</v>
      </c>
      <c r="Q9" s="50">
        <f>Q7</f>
        <v>0.1</v>
      </c>
      <c r="R9" s="51">
        <v>1.198</v>
      </c>
      <c r="S9" s="52">
        <f>'Расчёт коэф-в'!G7</f>
        <v>1.0208681135225375</v>
      </c>
      <c r="T9" s="52">
        <f>'Расчёт коэф-в'!I7</f>
        <v>1.3179506288014071</v>
      </c>
      <c r="U9" s="7">
        <f t="shared" si="2"/>
        <v>1.067428202424034</v>
      </c>
      <c r="V9" s="7">
        <f t="shared" si="3"/>
        <v>1.2849118754304416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5.75">
      <c r="A10" s="14" t="s">
        <v>60</v>
      </c>
      <c r="B10" s="50">
        <f>B7</f>
        <v>0.3</v>
      </c>
      <c r="C10" s="51">
        <v>1.167</v>
      </c>
      <c r="D10" s="52">
        <f>'Расчёт коэф-в'!D8</f>
        <v>1.4858611825192802</v>
      </c>
      <c r="E10" s="52">
        <f t="shared" si="0"/>
        <v>1.4858611825192802</v>
      </c>
      <c r="F10" s="50">
        <f>F7</f>
        <v>0.2</v>
      </c>
      <c r="G10" s="51">
        <v>1.167</v>
      </c>
      <c r="H10" s="52">
        <f>'Расчёт коэф-в'!G8</f>
        <v>2</v>
      </c>
      <c r="I10" s="52">
        <f>'Расчёт коэф-в'!D8</f>
        <v>1.4858611825192802</v>
      </c>
      <c r="J10" s="52">
        <f>'Расчёт коэф-в'!I8</f>
        <v>0.9448862078420619</v>
      </c>
      <c r="K10" s="52">
        <f t="shared" si="1"/>
        <v>2.2277047712255769</v>
      </c>
      <c r="L10" s="50">
        <f>L7</f>
        <v>0.4</v>
      </c>
      <c r="M10" s="51">
        <v>1.167</v>
      </c>
      <c r="N10" s="52">
        <f>'Расчёт коэф-в'!G8</f>
        <v>2</v>
      </c>
      <c r="O10" s="52">
        <f>'Расчёт коэф-в'!I8</f>
        <v>0.9448862078420619</v>
      </c>
      <c r="P10" s="52">
        <f t="shared" si="4"/>
        <v>1.4992684359978363</v>
      </c>
      <c r="Q10" s="50">
        <f>Q7</f>
        <v>0.1</v>
      </c>
      <c r="R10" s="51">
        <v>1.167</v>
      </c>
      <c r="S10" s="52">
        <f>'Расчёт коэф-в'!G8</f>
        <v>2</v>
      </c>
      <c r="T10" s="52">
        <f>'Расчёт коэф-в'!I8</f>
        <v>0.9448862078420619</v>
      </c>
      <c r="U10" s="7">
        <f t="shared" si="2"/>
        <v>1.4992684359978363</v>
      </c>
      <c r="V10" s="7">
        <f t="shared" si="3"/>
        <v>1.6409335269998175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.75">
      <c r="A11" s="14" t="s">
        <v>61</v>
      </c>
      <c r="B11" s="50">
        <f>B7</f>
        <v>0.3</v>
      </c>
      <c r="C11" s="51">
        <v>2.8340000000000001</v>
      </c>
      <c r="D11" s="52">
        <f>'Расчёт коэф-в'!D9</f>
        <v>0.96478475652787576</v>
      </c>
      <c r="E11" s="52">
        <f t="shared" si="0"/>
        <v>0.96478475652787576</v>
      </c>
      <c r="F11" s="50">
        <f>F7</f>
        <v>0.2</v>
      </c>
      <c r="G11" s="51">
        <v>2.8340000000000001</v>
      </c>
      <c r="H11" s="52">
        <f>'Расчёт коэф-в'!G9</f>
        <v>1.2254763585038815</v>
      </c>
      <c r="I11" s="52">
        <f>'Расчёт коэф-в'!D9</f>
        <v>0.96478475652787576</v>
      </c>
      <c r="J11" s="52">
        <f>'Расчёт коэф-в'!I9</f>
        <v>0.75417523011247145</v>
      </c>
      <c r="K11" s="52">
        <f t="shared" si="1"/>
        <v>0.70742031513713044</v>
      </c>
      <c r="L11" s="50">
        <f>L7</f>
        <v>0.4</v>
      </c>
      <c r="M11" s="51">
        <v>2.8340000000000001</v>
      </c>
      <c r="N11" s="52">
        <f>'Расчёт коэф-в'!G9</f>
        <v>1.2254763585038815</v>
      </c>
      <c r="O11" s="52">
        <f>'Расчёт коэф-в'!I9</f>
        <v>0.75417523011247145</v>
      </c>
      <c r="P11" s="52">
        <f t="shared" si="4"/>
        <v>0.73324159648110143</v>
      </c>
      <c r="Q11" s="50">
        <f>Q7</f>
        <v>0.1</v>
      </c>
      <c r="R11" s="51">
        <v>2.8340000000000001</v>
      </c>
      <c r="S11" s="52">
        <f>'Расчёт коэф-в'!G9</f>
        <v>1.2254763585038815</v>
      </c>
      <c r="T11" s="52">
        <f>'Расчёт коэф-в'!I9</f>
        <v>0.75417523011247145</v>
      </c>
      <c r="U11" s="7">
        <f t="shared" si="2"/>
        <v>0.73324159648110143</v>
      </c>
      <c r="V11" s="7">
        <f t="shared" si="3"/>
        <v>0.79754028822633949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5.75">
      <c r="A12" s="14" t="s">
        <v>62</v>
      </c>
      <c r="B12" s="50">
        <f>B7</f>
        <v>0.3</v>
      </c>
      <c r="C12" s="53">
        <v>1.825</v>
      </c>
      <c r="D12" s="52">
        <f>'Расчёт коэф-в'!D10</f>
        <v>1.1664657534246576</v>
      </c>
      <c r="E12" s="52">
        <f t="shared" si="0"/>
        <v>1.1664657534246576</v>
      </c>
      <c r="F12" s="50">
        <f>F7</f>
        <v>0.2</v>
      </c>
      <c r="G12" s="53">
        <v>1.825</v>
      </c>
      <c r="H12" s="52">
        <f>'Расчёт коэф-в'!G10</f>
        <v>1.0443835616438357</v>
      </c>
      <c r="I12" s="52">
        <f>'Расчёт коэф-в'!D10</f>
        <v>1.1664657534246576</v>
      </c>
      <c r="J12" s="52">
        <f>'Расчёт коэф-в'!I10</f>
        <v>0.83020549823273782</v>
      </c>
      <c r="K12" s="52">
        <f t="shared" si="1"/>
        <v>0.802393714456343</v>
      </c>
      <c r="L12" s="50">
        <f>L7</f>
        <v>0.4</v>
      </c>
      <c r="M12" s="53">
        <v>1.825</v>
      </c>
      <c r="N12" s="52">
        <f>'Расчёт коэф-в'!G10</f>
        <v>1.0443835616438357</v>
      </c>
      <c r="O12" s="52">
        <f>'Расчёт коэф-в'!I10</f>
        <v>0.83020549823273782</v>
      </c>
      <c r="P12" s="52">
        <f t="shared" si="4"/>
        <v>0.68788450248159794</v>
      </c>
      <c r="Q12" s="50">
        <f>Q7</f>
        <v>0.1</v>
      </c>
      <c r="R12" s="53">
        <v>1.825</v>
      </c>
      <c r="S12" s="52">
        <f>'Расчёт коэф-в'!G10</f>
        <v>1.0443835616438357</v>
      </c>
      <c r="T12" s="52">
        <f>'Расчёт коэф-в'!I10</f>
        <v>0.83020549823273782</v>
      </c>
      <c r="U12" s="7">
        <f t="shared" si="2"/>
        <v>0.68788450248159794</v>
      </c>
      <c r="V12" s="7">
        <f t="shared" si="3"/>
        <v>0.85436072015946496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5.75">
      <c r="A13" s="5"/>
      <c r="B13" s="50"/>
      <c r="C13" s="54"/>
      <c r="D13" s="52"/>
      <c r="E13" s="52"/>
      <c r="F13" s="50"/>
      <c r="G13" s="54"/>
      <c r="H13" s="52"/>
      <c r="I13" s="54"/>
      <c r="J13" s="52"/>
      <c r="K13" s="52"/>
      <c r="L13" s="50"/>
      <c r="M13" s="54"/>
      <c r="N13" s="52"/>
      <c r="O13" s="54"/>
      <c r="P13" s="52"/>
      <c r="Q13" s="50"/>
      <c r="R13" s="54"/>
      <c r="S13" s="52"/>
      <c r="T13" s="54"/>
      <c r="U13" s="6"/>
      <c r="V13" s="7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5.75">
      <c r="A14" s="3" t="s">
        <v>20</v>
      </c>
      <c r="B14" s="55">
        <v>0.3</v>
      </c>
      <c r="C14" s="54">
        <f>SUM(C7:C13)</f>
        <v>15.507</v>
      </c>
      <c r="D14" s="52">
        <v>1</v>
      </c>
      <c r="E14" s="52">
        <f t="shared" si="0"/>
        <v>1</v>
      </c>
      <c r="F14" s="50">
        <v>0.2</v>
      </c>
      <c r="G14" s="54">
        <f>SUM(G7:G13)</f>
        <v>15.507</v>
      </c>
      <c r="H14" s="52">
        <f>'Расчёт коэф-в'!G12</f>
        <v>1.2604630167021345</v>
      </c>
      <c r="I14" s="52">
        <v>1</v>
      </c>
      <c r="J14" s="52">
        <f>'Расчёт коэф-в'!I12</f>
        <v>1</v>
      </c>
      <c r="K14" s="52">
        <f>(I14*H14*J14)/$H$14*$I$14*$J$14</f>
        <v>1</v>
      </c>
      <c r="L14" s="50">
        <v>0.4</v>
      </c>
      <c r="M14" s="54">
        <f>SUM(M7:M13)</f>
        <v>15.507</v>
      </c>
      <c r="N14" s="52">
        <f>'Расчёт коэф-в'!G12</f>
        <v>1.2604630167021345</v>
      </c>
      <c r="O14" s="52">
        <v>1</v>
      </c>
      <c r="P14" s="52">
        <f t="shared" si="4"/>
        <v>1</v>
      </c>
      <c r="Q14" s="50">
        <f>Q7</f>
        <v>0.1</v>
      </c>
      <c r="R14" s="54">
        <f>SUM(R7:R13)</f>
        <v>15.507</v>
      </c>
      <c r="S14" s="52">
        <f>'Расчёт коэф-в'!G12</f>
        <v>1.2604630167021345</v>
      </c>
      <c r="T14" s="52">
        <v>1</v>
      </c>
      <c r="U14" s="7">
        <f>(S14*T14)/($S$14*$T$14)</f>
        <v>1</v>
      </c>
      <c r="V14" s="7">
        <f>(B14*E14)+(F14*K14)+(L14*P14)+(Q14*U14)</f>
        <v>1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5.75">
      <c r="A15" s="8"/>
      <c r="B15" s="2"/>
      <c r="C15" s="2"/>
      <c r="D15" s="2"/>
      <c r="E15" s="2"/>
      <c r="F15" s="2"/>
      <c r="G15" s="2"/>
      <c r="H15" s="2"/>
      <c r="I15" s="2"/>
      <c r="J15" s="2"/>
      <c r="K15" s="9"/>
      <c r="L15" s="2"/>
      <c r="M15" s="2"/>
      <c r="N15" s="2"/>
      <c r="O15" s="2"/>
      <c r="P15" s="9"/>
      <c r="Q15" s="2"/>
      <c r="R15" s="2"/>
      <c r="S15" s="2"/>
      <c r="T15" s="2"/>
      <c r="U15" s="9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5.75">
      <c r="A18" s="2"/>
      <c r="B18" s="2"/>
      <c r="C18" s="2"/>
      <c r="D18" s="2"/>
      <c r="E18" s="2"/>
      <c r="F18" s="4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5.75">
      <c r="A19" s="2"/>
      <c r="B19" s="2"/>
      <c r="C19" s="2"/>
      <c r="D19" s="2"/>
      <c r="E19" s="2"/>
      <c r="F19" s="4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5.75">
      <c r="A20" s="2"/>
      <c r="B20" s="2"/>
      <c r="C20" s="2"/>
      <c r="D20" s="2"/>
      <c r="E20" s="2"/>
      <c r="F20" s="4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5.75">
      <c r="A21" s="2"/>
      <c r="B21" s="2"/>
      <c r="C21" s="2"/>
      <c r="D21" s="2"/>
      <c r="E21" s="2"/>
      <c r="F21" s="4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9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9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5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9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5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5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5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5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5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5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5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5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5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5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5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5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5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5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5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5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5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5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5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5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5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5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5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5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5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5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5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5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5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5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5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5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5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5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5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5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5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5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5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5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5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5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5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5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5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5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5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5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5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5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5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5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5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5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5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5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5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5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5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5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5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5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5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5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5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5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5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5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5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5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5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5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5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5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5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5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5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5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5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5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5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5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5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5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5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5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5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5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5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5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5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5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5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5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5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5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5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5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5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5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5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5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5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5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5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5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5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5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5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5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5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5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5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5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5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5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5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5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5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5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5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5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5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5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5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5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5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5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5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5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5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5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5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5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5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5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5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5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5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5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5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5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5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5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5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5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5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5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5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5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5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5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5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5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5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5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5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5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5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5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5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5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5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5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5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5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5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5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5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5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5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5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5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5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5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5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5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5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5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5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5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5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5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5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5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5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5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5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5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5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5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5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5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5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5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5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5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5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5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5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5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5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5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5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5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5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5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5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5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5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5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5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5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5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5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5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5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5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5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5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5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5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5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5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5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5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5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5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5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5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5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5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5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5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5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5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5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5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5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5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5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5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5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5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5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5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5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5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5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5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5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5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5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5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5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5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5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5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5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5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5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5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5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5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5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5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5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5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5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5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5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5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5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5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5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5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5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5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5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5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5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5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5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5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5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5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5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5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5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5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5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5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5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5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5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5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5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5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5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5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5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5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5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5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5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5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5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5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5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5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5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5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5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5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5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5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5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5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5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5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5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5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5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5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5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5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5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15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 ht="15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 ht="15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ht="15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 ht="15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 ht="15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 ht="15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 ht="15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ht="15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 ht="15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 ht="15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15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 ht="15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ht="15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 ht="15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 ht="15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 ht="15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 ht="15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 ht="15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 ht="15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 ht="15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ht="15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 ht="15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 ht="15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 ht="15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 ht="15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 ht="15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 ht="15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 ht="15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 ht="15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 ht="15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 ht="15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 ht="15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 ht="15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 ht="15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 ht="15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 ht="15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 ht="15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 ht="15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 ht="15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 ht="15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 ht="15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 ht="15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 ht="15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 ht="15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 ht="15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 ht="15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 ht="15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 ht="15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 ht="15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 ht="15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 ht="15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 ht="15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 ht="15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 ht="15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 ht="15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 ht="15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 ht="15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 ht="15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 ht="15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 ht="15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 ht="15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 ht="15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 ht="15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 ht="15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 ht="15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ht="15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 ht="15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 ht="15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 ht="15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 ht="15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 ht="15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 ht="15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 ht="15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 ht="15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 ht="15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 ht="15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 ht="15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 ht="15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 ht="15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 ht="15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 ht="15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 ht="15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 ht="15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 ht="15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 ht="15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 ht="15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 ht="15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 ht="15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 ht="15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 ht="15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 ht="15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 ht="15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 ht="15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 ht="15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 ht="15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 ht="15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 ht="15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 ht="15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 ht="15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 ht="15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 ht="15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 ht="15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 ht="15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 ht="15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 ht="15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 ht="15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 ht="15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 ht="15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 ht="15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 ht="15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 ht="15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 ht="15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 ht="15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 ht="15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 ht="15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15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15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15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15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15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15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15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15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5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15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15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15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15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15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15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15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15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15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15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15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15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15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15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15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15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15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15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15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15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15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15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15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15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15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15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15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15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15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15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15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15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15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15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15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15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15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15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15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15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15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15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15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15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15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15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15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15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15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15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15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15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15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15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15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15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15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15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15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15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15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15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15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15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15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15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15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15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15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15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15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15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15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15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15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15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15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15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15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15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15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15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15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15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15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15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15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15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15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15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15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15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15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15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15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15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15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15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15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15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15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15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15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15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15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15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15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15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15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15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15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15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15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15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15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15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15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15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15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15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15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15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15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15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15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15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15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15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15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 ht="15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 ht="15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 ht="15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 ht="15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 ht="15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 ht="15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 ht="15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 ht="15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 ht="15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 ht="15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 ht="15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 ht="15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 ht="15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 ht="15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 ht="15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 ht="15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 ht="15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 ht="15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 ht="15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 ht="15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 ht="15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 ht="15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 ht="15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 ht="15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 ht="15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 ht="15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 ht="15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 ht="15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 ht="15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 ht="15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 ht="15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 ht="15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 ht="15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 ht="15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 ht="15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 ht="15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 ht="15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 ht="15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 ht="15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 ht="15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 ht="15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 ht="15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 ht="15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 ht="15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 ht="15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 ht="15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 ht="15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 ht="15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 ht="15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 ht="15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 ht="15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 ht="15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 ht="15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 ht="15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 ht="15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 ht="15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 ht="15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 ht="15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 ht="15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 ht="15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 ht="15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 ht="15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 ht="15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 ht="15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 ht="15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 ht="15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 ht="15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 ht="15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 ht="15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 ht="15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 ht="15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 ht="15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 ht="15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 ht="15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 ht="15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 ht="15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 ht="15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 ht="15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 ht="15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 ht="15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 ht="15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 ht="15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 ht="15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 ht="15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 ht="15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 ht="15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 ht="15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 ht="15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 ht="15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 ht="15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 ht="15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 ht="15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 ht="15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 ht="15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 ht="15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 ht="15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 ht="15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 ht="15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 ht="15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 ht="15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 ht="15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 ht="15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 ht="15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 ht="15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 ht="15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 ht="15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 ht="15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 ht="15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 ht="15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 ht="15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 ht="15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 ht="15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 ht="15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 ht="15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 ht="15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 ht="15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 ht="15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 ht="15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 ht="15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 ht="15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 ht="15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 ht="15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 ht="15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 ht="15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 ht="15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 ht="15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 ht="15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 ht="15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 ht="15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 ht="15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 ht="15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 ht="15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 ht="15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 ht="15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 ht="15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 ht="15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 ht="15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 ht="15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 ht="15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 ht="15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 ht="15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 ht="15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 ht="15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 ht="15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 ht="15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 ht="15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 ht="15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 ht="15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 ht="15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 ht="15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 ht="15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 ht="15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 ht="15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 ht="15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 ht="15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 ht="15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 ht="15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 ht="15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 ht="15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 ht="15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 ht="15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 ht="15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 ht="15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 ht="15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 ht="15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 ht="15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 ht="15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 ht="15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 ht="15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 ht="15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 ht="15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spans="1:35" ht="15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spans="1:35" ht="15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spans="1:35" ht="15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spans="1:35" ht="15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spans="1:35" ht="15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spans="1:35" ht="15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spans="1:35" ht="15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spans="1:35" ht="15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spans="1:35" ht="15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spans="1:35" ht="15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spans="1:35" ht="15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spans="1:35" ht="15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spans="1:35" ht="15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spans="1:35" ht="15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spans="1:35" ht="15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spans="1:35" ht="15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spans="1:35" ht="15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spans="1:35" ht="15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spans="1:35" ht="15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spans="1:35" ht="15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spans="1:35" ht="15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spans="1:35" ht="15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spans="1:35" ht="15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spans="1:35" ht="15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spans="1:35" ht="15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spans="1:35" ht="15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spans="1:35" ht="15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spans="1:35" ht="15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spans="1:35" ht="15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spans="1:35" ht="15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spans="1:35" ht="15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spans="1:35" ht="15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spans="1:35" ht="15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spans="1:35" ht="15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spans="1:35" ht="15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spans="1:35" ht="15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spans="1:35" ht="15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spans="1:35" ht="15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spans="1:35" ht="15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spans="1:35" ht="15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spans="1:35" ht="15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spans="1:35" ht="15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spans="1:35" ht="15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spans="1:35" ht="15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spans="1:35" ht="15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spans="1:35" ht="15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spans="1:35" ht="15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spans="1:35" ht="15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spans="1:35" ht="15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spans="1:35" ht="15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spans="1:35" ht="15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spans="1:35" ht="15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spans="1:35" ht="15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spans="1:35" ht="15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spans="1:35" ht="15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spans="1:35" ht="15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spans="1:35" ht="15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spans="1:35" ht="15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spans="1:35" ht="15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spans="1:35" ht="15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spans="1:35" ht="15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spans="1:35" ht="15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spans="1:35" ht="15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spans="1:35" ht="15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spans="1:35" ht="15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spans="1:35" ht="15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spans="1:35" ht="15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spans="1:35" ht="15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spans="1:35" ht="15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spans="1:35" ht="15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spans="1:35" ht="15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spans="1:35" ht="15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spans="1:35" ht="15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 spans="1:35" ht="15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  <row r="1001" spans="1:35" ht="15.7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</row>
    <row r="1002" spans="1:35" ht="15.7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</row>
    <row r="1003" spans="1:35" ht="15.7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</row>
    <row r="1004" spans="1:35" ht="15.7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</row>
    <row r="1005" spans="1:35" ht="15.7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</row>
    <row r="1006" spans="1:35" ht="15.7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</row>
    <row r="1007" spans="1:35" ht="15.7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</row>
    <row r="1008" spans="1:35" ht="15.7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</row>
    <row r="1009" spans="1:35" ht="15.7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</row>
    <row r="1010" spans="1:35" ht="15.7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</row>
    <row r="1011" spans="1:35" ht="15.7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</row>
    <row r="1012" spans="1:35" ht="15.7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</row>
    <row r="1013" spans="1:35" ht="15.7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</row>
    <row r="1014" spans="1:35" ht="15.7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</row>
    <row r="1015" spans="1:35" ht="15.7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</row>
    <row r="1016" spans="1:35" ht="15.7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</row>
    <row r="1017" spans="1:35" ht="15.7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</row>
    <row r="1018" spans="1:35" ht="15.7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</row>
    <row r="1019" spans="1:35" ht="15.7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</row>
    <row r="1020" spans="1:35" ht="15.7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</row>
    <row r="1021" spans="1:35" ht="15.7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</row>
    <row r="1022" spans="1:35" ht="15.7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</row>
    <row r="1023" spans="1:35" ht="15.7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</row>
    <row r="1024" spans="1:35" ht="15.7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</row>
    <row r="1025" spans="1:35" ht="15.7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</row>
    <row r="1026" spans="1:35" ht="15.7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</row>
    <row r="1027" spans="1:35" ht="15.7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</row>
    <row r="1028" spans="1:35" ht="15.7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</row>
    <row r="1029" spans="1:35" ht="15.7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</row>
    <row r="1030" spans="1:35" ht="15.7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</row>
    <row r="1031" spans="1:35" ht="15.7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</row>
    <row r="1032" spans="1:35" ht="15.7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</row>
    <row r="1033" spans="1:35" ht="15.7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</row>
    <row r="1034" spans="1:35" ht="15.7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</row>
    <row r="1035" spans="1:35" ht="15.7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</row>
    <row r="1036" spans="1:35" ht="15.7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</row>
    <row r="1037" spans="1:35" ht="15.7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</row>
    <row r="1038" spans="1:35" ht="15.7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</row>
    <row r="1039" spans="1:35" ht="15.7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</row>
    <row r="1040" spans="1:35" ht="15.7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</row>
    <row r="1041" spans="1:35" ht="15.7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</row>
    <row r="1042" spans="1:35" ht="15.7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</row>
    <row r="1043" spans="1:35" ht="15.7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</row>
    <row r="1044" spans="1:35" ht="15.7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</row>
    <row r="1045" spans="1:35" ht="15.7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</row>
    <row r="1046" spans="1:35" ht="15.7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</row>
    <row r="1047" spans="1:35" ht="15.7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</row>
    <row r="1048" spans="1:35" ht="15.7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</row>
    <row r="1049" spans="1:35" ht="15.7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</row>
    <row r="1050" spans="1:35" ht="15.7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</row>
    <row r="1051" spans="1:35" ht="15.7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</row>
    <row r="1052" spans="1:35" ht="15.7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</row>
    <row r="1053" spans="1:35" ht="15.7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</row>
    <row r="1054" spans="1:35" ht="15.7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</row>
    <row r="1055" spans="1:35" ht="15.7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</row>
    <row r="1056" spans="1:35" ht="15.7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</row>
    <row r="1057" spans="1:35" ht="15.7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</row>
    <row r="1058" spans="1:35" ht="15.7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</row>
    <row r="1059" spans="1:35" ht="15.7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</row>
    <row r="1060" spans="1:35" ht="15.7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</row>
    <row r="1061" spans="1:35" ht="15.7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</row>
    <row r="1062" spans="1:35" ht="15.7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</row>
    <row r="1063" spans="1:35" ht="15.7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</row>
    <row r="1064" spans="1:35" ht="15.7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</row>
    <row r="1065" spans="1:35" ht="15.7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</row>
    <row r="1066" spans="1:35" ht="15.7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</row>
    <row r="1067" spans="1:35" ht="15.7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</row>
    <row r="1068" spans="1:35" ht="15.7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</row>
    <row r="1069" spans="1:35" ht="15.7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</row>
    <row r="1070" spans="1:35" ht="15.7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</row>
    <row r="1071" spans="1:35" ht="15.7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</row>
    <row r="1072" spans="1:35" ht="15.7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</row>
    <row r="1073" spans="1:35" ht="15.7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</row>
    <row r="1074" spans="1:35" ht="15.7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</row>
    <row r="1075" spans="1:35" ht="15.7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</row>
    <row r="1076" spans="1:35" ht="15.7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</row>
    <row r="1077" spans="1:35" ht="15.7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</row>
    <row r="1078" spans="1:35" ht="15.7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</row>
    <row r="1079" spans="1:35" ht="15.7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</row>
    <row r="1080" spans="1:35" ht="15.7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</row>
    <row r="1081" spans="1:35" ht="15.7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</row>
    <row r="1082" spans="1:35" ht="15.7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</row>
    <row r="1083" spans="1:35" ht="15.7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</row>
    <row r="1084" spans="1:35" ht="15.7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</row>
    <row r="1085" spans="1:35" ht="15.7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</row>
    <row r="1086" spans="1:35" ht="15.7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</row>
    <row r="1087" spans="1:35" ht="15.7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</row>
    <row r="1088" spans="1:35" ht="15.7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</row>
    <row r="1089" spans="1:35" ht="15.7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</row>
    <row r="1090" spans="1:35" ht="15.7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</row>
    <row r="1091" spans="1:35" ht="15.7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</row>
    <row r="1092" spans="1:35" ht="15.7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</row>
    <row r="1093" spans="1:35" ht="15.7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</row>
    <row r="1094" spans="1:35" ht="15.7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</row>
    <row r="1095" spans="1:35" ht="15.7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</row>
    <row r="1096" spans="1:35" ht="15.7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</row>
    <row r="1097" spans="1:35" ht="15.7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</row>
    <row r="1098" spans="1:35" ht="15.7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</row>
    <row r="1099" spans="1:35" ht="15.7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</row>
    <row r="1100" spans="1:35" ht="15.7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</row>
    <row r="1101" spans="1:35" ht="15.7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</row>
    <row r="1102" spans="1:35" ht="15.7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</row>
    <row r="1103" spans="1:35" ht="15.7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</row>
    <row r="1104" spans="1:35" ht="15.7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</row>
    <row r="1105" spans="1:35" ht="15.7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</row>
    <row r="1106" spans="1:35" ht="15.7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</row>
    <row r="1107" spans="1:35" ht="15.7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</row>
    <row r="1108" spans="1:35" ht="15.7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</row>
    <row r="1109" spans="1:35" ht="15.7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</row>
    <row r="1110" spans="1:35" ht="15.7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</row>
    <row r="1111" spans="1:35" ht="15.7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</row>
    <row r="1112" spans="1:35" ht="15.7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</row>
    <row r="1113" spans="1:35" ht="15.7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</row>
    <row r="1114" spans="1:35" ht="15.7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</row>
    <row r="1115" spans="1:35" ht="15.7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</row>
    <row r="1116" spans="1:35" ht="15.7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</row>
    <row r="1117" spans="1:35" ht="15.7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</row>
    <row r="1118" spans="1:35" ht="15.7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</row>
    <row r="1119" spans="1:35" ht="15.7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</row>
    <row r="1120" spans="1:35" ht="15.7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</row>
    <row r="1121" spans="1:35" ht="15.7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</row>
    <row r="1122" spans="1:35" ht="15.7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</row>
    <row r="1123" spans="1:35" ht="15.7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</row>
    <row r="1124" spans="1:35" ht="15.7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</row>
    <row r="1125" spans="1:35" ht="15.7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</row>
    <row r="1126" spans="1:35" ht="15.7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</row>
    <row r="1127" spans="1:35" ht="15.7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</row>
    <row r="1128" spans="1:35" ht="15.7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</row>
    <row r="1129" spans="1:35" ht="15.7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</row>
    <row r="1130" spans="1:35" ht="15.7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</row>
    <row r="1131" spans="1:35" ht="15.7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</row>
    <row r="1132" spans="1:35" ht="15.7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</row>
    <row r="1133" spans="1:35" ht="15.7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</row>
    <row r="1134" spans="1:35" ht="15.7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</row>
    <row r="1135" spans="1:35" ht="15.7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</row>
    <row r="1136" spans="1:35" ht="15.7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</row>
    <row r="1137" spans="1:35" ht="15.7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</row>
    <row r="1138" spans="1:35" ht="15.7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</row>
    <row r="1139" spans="1:35" ht="15.7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</row>
    <row r="1140" spans="1:35" ht="15.7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</row>
    <row r="1141" spans="1:35" ht="15.7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</row>
    <row r="1142" spans="1:35" ht="15.7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</row>
    <row r="1143" spans="1:35" ht="15.7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</row>
    <row r="1144" spans="1:35" ht="15.7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</row>
    <row r="1145" spans="1:35" ht="15.7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</row>
    <row r="1146" spans="1:35" ht="15.7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</row>
    <row r="1147" spans="1:35" ht="15.7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</row>
    <row r="1148" spans="1:35" ht="15.7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</row>
    <row r="1149" spans="1:35" ht="15.7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</row>
    <row r="1150" spans="1:35" ht="15.7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</row>
    <row r="1151" spans="1:35" ht="15.7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</row>
    <row r="1152" spans="1:35" ht="15.7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</row>
    <row r="1153" spans="1:35" ht="15.7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</row>
    <row r="1154" spans="1:35" ht="15.7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</row>
    <row r="1155" spans="1:35" ht="15.7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</row>
    <row r="1156" spans="1:35" ht="15.7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</row>
    <row r="1157" spans="1:35" ht="15.7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</row>
    <row r="1158" spans="1:35" ht="15.7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</row>
    <row r="1159" spans="1:35" ht="15.7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</row>
    <row r="1160" spans="1:35" ht="15.7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</row>
    <row r="1161" spans="1:35" ht="15.7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</row>
    <row r="1162" spans="1:35" ht="15.7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</row>
    <row r="1163" spans="1:35" ht="15.7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</row>
    <row r="1164" spans="1:35" ht="15.7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</row>
    <row r="1165" spans="1:35" ht="15.7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</row>
    <row r="1166" spans="1:35" ht="15.7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</row>
    <row r="1167" spans="1:35" ht="15.7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</row>
    <row r="1168" spans="1:35" ht="15.7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</row>
    <row r="1169" spans="1:35" ht="15.7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</row>
    <row r="1170" spans="1:35" ht="15.7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</row>
    <row r="1171" spans="1:35" ht="15.7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</row>
    <row r="1172" spans="1:35" ht="15.7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</row>
    <row r="1173" spans="1:35" ht="15.7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</row>
    <row r="1174" spans="1:35" ht="15.7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</row>
    <row r="1175" spans="1:35" ht="15.7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</row>
    <row r="1176" spans="1:35" ht="15.7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</row>
    <row r="1177" spans="1:35" ht="15.7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</row>
    <row r="1178" spans="1:35" ht="15.7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</row>
    <row r="1179" spans="1:35" ht="15.7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</row>
    <row r="1180" spans="1:35" ht="15.7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</row>
    <row r="1181" spans="1:35" ht="15.7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</row>
    <row r="1182" spans="1:35" ht="15.7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</row>
    <row r="1183" spans="1:35" ht="15.7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</row>
    <row r="1184" spans="1:35" ht="15.7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</row>
    <row r="1185" spans="1:35" ht="15.7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</row>
    <row r="1186" spans="1:35" ht="15.7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</row>
    <row r="1187" spans="1:35" ht="15.7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</row>
    <row r="1188" spans="1:35" ht="15.7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</row>
    <row r="1189" spans="1:35" ht="15.7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</row>
    <row r="1190" spans="1:35" ht="15.7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</row>
    <row r="1191" spans="1:35" ht="15.7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</row>
    <row r="1192" spans="1:35" ht="15.7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</row>
    <row r="1193" spans="1:35" ht="15.7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</row>
    <row r="1194" spans="1:35" ht="15.7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</row>
    <row r="1195" spans="1:35" ht="15.7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</row>
    <row r="1196" spans="1:35" ht="15.7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</row>
    <row r="1197" spans="1:35" ht="15.7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</row>
    <row r="1198" spans="1:35" ht="15.7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</row>
    <row r="1199" spans="1:35" ht="15.7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</row>
    <row r="1200" spans="1:35" ht="15.7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</row>
    <row r="1201" spans="1:35" ht="15.7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</row>
    <row r="1202" spans="1:35" ht="15.7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</row>
    <row r="1203" spans="1:35" ht="15.7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</row>
    <row r="1204" spans="1:35" ht="15.7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</row>
    <row r="1205" spans="1:35" ht="15.7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</row>
    <row r="1206" spans="1:35" ht="15.7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</row>
    <row r="1207" spans="1:35" ht="15.7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</row>
    <row r="1208" spans="1:35" ht="15.7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</row>
    <row r="1209" spans="1:35" ht="15.7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</row>
    <row r="1210" spans="1:35" ht="15.7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</row>
    <row r="1211" spans="1:35" ht="15.7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</row>
    <row r="1212" spans="1:35" ht="15.7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</row>
    <row r="1213" spans="1:35" ht="15.7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</row>
    <row r="1214" spans="1:35" ht="15.7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</row>
    <row r="1215" spans="1:35" ht="15.7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</row>
    <row r="1216" spans="1:35" ht="15.7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</row>
    <row r="1217" spans="1:35" ht="15.7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</row>
    <row r="1218" spans="1:35" ht="15.7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</row>
    <row r="1219" spans="1:35" ht="15.7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</row>
    <row r="1220" spans="1:35" ht="15.7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</row>
    <row r="1221" spans="1:35" ht="15.7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</row>
    <row r="1222" spans="1:35" ht="15.7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</row>
    <row r="1223" spans="1:35" ht="15.7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</row>
    <row r="1224" spans="1:35" ht="15.7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</row>
    <row r="1225" spans="1:35" ht="15.7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</row>
    <row r="1226" spans="1:35" ht="15.7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</row>
    <row r="1227" spans="1:35" ht="15.7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</row>
    <row r="1228" spans="1:35" ht="15.7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</row>
    <row r="1229" spans="1:35" ht="15.7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</row>
    <row r="1230" spans="1:35" ht="15.7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</row>
    <row r="1231" spans="1:35" ht="15.7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</row>
    <row r="1232" spans="1:35" ht="15.7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</row>
    <row r="1233" spans="1:35" ht="15.7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</row>
    <row r="1234" spans="1:35" ht="15.7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</row>
    <row r="1235" spans="1:35" ht="15.7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</row>
    <row r="1236" spans="1:35" ht="15.7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</row>
    <row r="1237" spans="1:35" ht="15.7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</row>
    <row r="1238" spans="1:35" ht="15.7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</row>
    <row r="1239" spans="1:35" ht="15.7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</row>
    <row r="1240" spans="1:35" ht="15.7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</row>
    <row r="1241" spans="1:35" ht="15.7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</row>
    <row r="1242" spans="1:35" ht="15.7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</row>
    <row r="1243" spans="1:35" ht="15.7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</row>
    <row r="1244" spans="1:35" ht="15.7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</row>
    <row r="1245" spans="1:35" ht="15.7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</row>
    <row r="1246" spans="1:35" ht="15.7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</row>
    <row r="1247" spans="1:35" ht="15.7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</row>
    <row r="1248" spans="1:35" ht="15.7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</row>
    <row r="1249" spans="1:35" ht="15.7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</row>
    <row r="1250" spans="1:35" ht="15.7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</row>
    <row r="1251" spans="1:35" ht="15.7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</row>
    <row r="1252" spans="1:35" ht="15.7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</row>
    <row r="1253" spans="1:35" ht="15.7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</row>
    <row r="1254" spans="1:35" ht="15.7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</row>
    <row r="1255" spans="1:35" ht="15.7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</row>
    <row r="1256" spans="1:35" ht="15.7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</row>
    <row r="1257" spans="1:35" ht="15.7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</row>
    <row r="1258" spans="1:35" ht="15.7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</row>
    <row r="1259" spans="1:35" ht="15.7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</row>
    <row r="1260" spans="1:35" ht="15.7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</row>
    <row r="1261" spans="1:35" ht="15.7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</row>
    <row r="1262" spans="1:35" ht="15.7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</row>
    <row r="1263" spans="1:35" ht="15.7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</row>
    <row r="1264" spans="1:35" ht="15.7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</row>
    <row r="1265" spans="1:35" ht="15.7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</row>
    <row r="1266" spans="1:35" ht="15.7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</row>
    <row r="1267" spans="1:35" ht="15.7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</row>
    <row r="1268" spans="1:35" ht="15.7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</row>
    <row r="1269" spans="1:35" ht="15.7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</row>
    <row r="1270" spans="1:35" ht="15.7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</row>
    <row r="1271" spans="1:35" ht="15.7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</row>
    <row r="1272" spans="1:35" ht="15.7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</row>
    <row r="1273" spans="1:35" ht="15.7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</row>
    <row r="1274" spans="1:35" ht="15.7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</row>
    <row r="1275" spans="1:35" ht="15.7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</row>
    <row r="1276" spans="1:35" ht="15.7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</row>
    <row r="1277" spans="1:35" ht="15.7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</row>
    <row r="1278" spans="1:35" ht="15.7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</row>
    <row r="1279" spans="1:35" ht="15.7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</row>
    <row r="1280" spans="1:35" ht="15.7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</row>
    <row r="1281" spans="1:35" ht="15.7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</row>
    <row r="1282" spans="1:35" ht="15.7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</row>
    <row r="1283" spans="1:35" ht="15.7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</row>
    <row r="1284" spans="1:35" ht="15.7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</row>
    <row r="1285" spans="1:35" ht="15.7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</row>
    <row r="1286" spans="1:35" ht="15.7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</row>
    <row r="1287" spans="1:35" ht="15.7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</row>
    <row r="1288" spans="1:35" ht="15.7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</row>
    <row r="1289" spans="1:35" ht="15.7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</row>
    <row r="1290" spans="1:35" ht="15.7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</row>
    <row r="1291" spans="1:35" ht="15.7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</row>
    <row r="1292" spans="1:35" ht="15.7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</row>
    <row r="1293" spans="1:35" ht="15.7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</row>
    <row r="1294" spans="1:35" ht="15.7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</row>
    <row r="1295" spans="1:35" ht="15.7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</row>
    <row r="1296" spans="1:35" ht="15.7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</row>
    <row r="1297" spans="1:35" ht="15.7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</row>
    <row r="1298" spans="1:35" ht="15.7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</row>
    <row r="1299" spans="1:35" ht="15.7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</row>
    <row r="1300" spans="1:35" ht="15.7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</row>
    <row r="1301" spans="1:35" ht="15.7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</row>
    <row r="1302" spans="1:35" ht="15.7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</row>
    <row r="1303" spans="1:35" ht="15.7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</row>
    <row r="1304" spans="1:35" ht="15.7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</row>
    <row r="1305" spans="1:35" ht="15.7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</row>
    <row r="1306" spans="1:35" ht="15.7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</row>
    <row r="1307" spans="1:35" ht="15.7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</row>
    <row r="1308" spans="1:35" ht="15.7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</row>
    <row r="1309" spans="1:35" ht="15.7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</row>
    <row r="1310" spans="1:35" ht="15.7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</row>
    <row r="1311" spans="1:35" ht="15.7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</row>
    <row r="1312" spans="1:35" ht="15.7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</row>
    <row r="1313" spans="1:35" ht="15.7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</row>
    <row r="1314" spans="1:35" ht="15.7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</row>
    <row r="1315" spans="1:35" ht="15.7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</row>
    <row r="1316" spans="1:35" ht="15.7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</row>
    <row r="1317" spans="1:35" ht="15.7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</row>
    <row r="1318" spans="1:35" ht="15.7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</row>
    <row r="1319" spans="1:35" ht="15.7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</row>
    <row r="1320" spans="1:35" ht="15.7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</row>
    <row r="1321" spans="1:35" ht="15.7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</row>
    <row r="1322" spans="1:35" ht="15.7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</row>
    <row r="1323" spans="1:35" ht="15.7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</row>
    <row r="1324" spans="1:35" ht="15.7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</row>
    <row r="1325" spans="1:35" ht="15.7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</row>
    <row r="1326" spans="1:35" ht="15.7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</row>
    <row r="1327" spans="1:35" ht="15.7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</row>
    <row r="1328" spans="1:35" ht="15.7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</row>
    <row r="1329" spans="1:35" ht="15.7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</row>
    <row r="1330" spans="1:35" ht="15.7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</row>
    <row r="1331" spans="1:35" ht="15.7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</row>
    <row r="1332" spans="1:35" ht="15.7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</row>
    <row r="1333" spans="1:35" ht="15.7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</row>
    <row r="1334" spans="1:35" ht="15.7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</row>
    <row r="1335" spans="1:35" ht="15.7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</row>
    <row r="1336" spans="1:35" ht="15.7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</row>
    <row r="1337" spans="1:35" ht="15.7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</row>
    <row r="1338" spans="1:35" ht="15.7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</row>
    <row r="1339" spans="1:35" ht="15.7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</row>
    <row r="1340" spans="1:35" ht="15.7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</row>
    <row r="1341" spans="1:35" ht="15.7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</row>
    <row r="1342" spans="1:35" ht="15.7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</row>
    <row r="1343" spans="1:35" ht="15.7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</row>
    <row r="1344" spans="1:35" ht="15.7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</row>
    <row r="1345" spans="1:35" ht="15.7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</row>
    <row r="1346" spans="1:35" ht="15.7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</row>
    <row r="1347" spans="1:35" ht="15.7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</row>
    <row r="1348" spans="1:35" ht="15.7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</row>
    <row r="1349" spans="1:35" ht="15.7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</row>
    <row r="1350" spans="1:35" ht="15.7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</row>
    <row r="1351" spans="1:35" ht="15.7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</row>
    <row r="1352" spans="1:35" ht="15.7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</row>
    <row r="1353" spans="1:35" ht="15.7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</row>
    <row r="1354" spans="1:35" ht="15.7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</row>
    <row r="1355" spans="1:35" ht="15.7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</row>
    <row r="1356" spans="1:35" ht="15.7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</row>
    <row r="1357" spans="1:35" ht="15.7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</row>
    <row r="1358" spans="1:35" ht="15.7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</row>
    <row r="1359" spans="1:35" ht="15.7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</row>
    <row r="1360" spans="1:35" ht="15.7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</row>
    <row r="1361" spans="1:35" ht="15.7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</row>
    <row r="1362" spans="1:35" ht="15.7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</row>
    <row r="1363" spans="1:35" ht="15.7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</row>
    <row r="1364" spans="1:35" ht="15.7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</row>
    <row r="1365" spans="1:35" ht="15.7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</row>
    <row r="1366" spans="1:35" ht="15.7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</row>
    <row r="1367" spans="1:35" ht="15.7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</row>
    <row r="1368" spans="1:35" ht="15.7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</row>
    <row r="1369" spans="1:35" ht="15.7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</row>
    <row r="1370" spans="1:35" ht="15.7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</row>
    <row r="1371" spans="1:35" ht="15.7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</row>
    <row r="1372" spans="1:35" ht="15.7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</row>
    <row r="1373" spans="1:35" ht="15.7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</row>
    <row r="1374" spans="1:35" ht="15.7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</row>
    <row r="1375" spans="1:35" ht="15.7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</row>
    <row r="1376" spans="1:35" ht="15.7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</row>
    <row r="1377" spans="1:35" ht="15.7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</row>
    <row r="1378" spans="1:35" ht="15.7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</row>
    <row r="1379" spans="1:35" ht="15.7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</row>
    <row r="1380" spans="1:35" ht="15.7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</row>
    <row r="1381" spans="1:35" ht="15.7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</row>
    <row r="1382" spans="1:35" ht="15.7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</row>
    <row r="1383" spans="1:35" ht="15.7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</row>
    <row r="1384" spans="1:35" ht="15.7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</row>
    <row r="1385" spans="1:35" ht="15.7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</row>
    <row r="1386" spans="1:35" ht="15.7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</row>
    <row r="1387" spans="1:35" ht="15.7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</row>
    <row r="1388" spans="1:35" ht="15.7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</row>
    <row r="1389" spans="1:35" ht="15.7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</row>
    <row r="1390" spans="1:35" ht="15.7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</row>
    <row r="1391" spans="1:35" ht="15.7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</row>
    <row r="1392" spans="1:35" ht="15.7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</row>
    <row r="1393" spans="1:35" ht="15.7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</row>
    <row r="1394" spans="1:35" ht="15.7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</row>
    <row r="1395" spans="1:35" ht="15.7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</row>
    <row r="1396" spans="1:35" ht="15.7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</row>
    <row r="1397" spans="1:35" ht="15.7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</row>
    <row r="1398" spans="1:35" ht="15.7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</row>
    <row r="1399" spans="1:35" ht="15.7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</row>
    <row r="1400" spans="1:35" ht="15.7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</row>
    <row r="1401" spans="1:35" ht="15.7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</row>
    <row r="1402" spans="1:35" ht="15.7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</row>
    <row r="1403" spans="1:35" ht="15.7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</row>
    <row r="1404" spans="1:35" ht="15.7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</row>
    <row r="1405" spans="1:35" ht="15.7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</row>
    <row r="1406" spans="1:35" ht="15.7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</row>
    <row r="1407" spans="1:35" ht="15.7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</row>
    <row r="1408" spans="1:35" ht="15.7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</row>
    <row r="1409" spans="1:35" ht="15.7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</row>
    <row r="1410" spans="1:35" ht="15.7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</row>
    <row r="1411" spans="1:35" ht="15.7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</row>
    <row r="1412" spans="1:35" ht="15.7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</row>
    <row r="1413" spans="1:35" ht="15.7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</row>
    <row r="1414" spans="1:35" ht="15.7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</row>
    <row r="1415" spans="1:35" ht="15.7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</row>
    <row r="1416" spans="1:35" ht="15.7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</row>
    <row r="1417" spans="1:35" ht="15.7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</row>
    <row r="1418" spans="1:35" ht="15.7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</row>
    <row r="1419" spans="1:35" ht="15.7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</row>
    <row r="1420" spans="1:35" ht="15.7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</row>
    <row r="1421" spans="1:35" ht="15.7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</row>
    <row r="1422" spans="1:35" ht="15.7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</row>
    <row r="1423" spans="1:35" ht="15.7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</row>
    <row r="1424" spans="1:35" ht="15.7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</row>
    <row r="1425" spans="1:35" ht="15.7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</row>
    <row r="1426" spans="1:35" ht="15.7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</row>
    <row r="1427" spans="1:35" ht="15.7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</row>
    <row r="1428" spans="1:35" ht="15.7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</row>
    <row r="1429" spans="1:35" ht="15.7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</row>
    <row r="1430" spans="1:35" ht="15.7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</row>
    <row r="1431" spans="1:35" ht="15.7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</row>
    <row r="1432" spans="1:35" ht="15.7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</row>
    <row r="1433" spans="1:35" ht="15.7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</row>
    <row r="1434" spans="1:35" ht="15.7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</row>
    <row r="1435" spans="1:35" ht="15.7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</row>
    <row r="1436" spans="1:35" ht="15.7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</row>
    <row r="1437" spans="1:35" ht="15.7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</row>
    <row r="1438" spans="1:35" ht="15.7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</row>
    <row r="1439" spans="1:35" ht="15.7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</row>
    <row r="1440" spans="1:35" ht="15.7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</row>
    <row r="1441" spans="1:35" ht="15.7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</row>
    <row r="1442" spans="1:35" ht="15.7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</row>
    <row r="1443" spans="1:35" ht="15.7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</row>
    <row r="1444" spans="1:35" ht="15.7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</row>
    <row r="1445" spans="1:35" ht="15.7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</row>
    <row r="1446" spans="1:35" ht="15.7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</row>
    <row r="1447" spans="1:35" ht="15.7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</row>
    <row r="1448" spans="1:35" ht="15.7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</row>
    <row r="1449" spans="1:35" ht="15.7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</row>
    <row r="1450" spans="1:35" ht="15.7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</row>
    <row r="1451" spans="1:35" ht="15.7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</row>
    <row r="1452" spans="1:35" ht="15.7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</row>
    <row r="1453" spans="1:35" ht="15.7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</row>
    <row r="1454" spans="1:35" ht="15.7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</row>
    <row r="1455" spans="1:35" ht="15.7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</row>
    <row r="1456" spans="1:35" ht="15.7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</row>
    <row r="1457" spans="1:35" ht="15.7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</row>
    <row r="1458" spans="1:35" ht="15.7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</row>
    <row r="1459" spans="1:35" ht="15.7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</row>
    <row r="1460" spans="1:35" ht="15.7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</row>
    <row r="1461" spans="1:35" ht="15.7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</row>
    <row r="1462" spans="1:35" ht="15.7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</row>
    <row r="1463" spans="1:35" ht="15.7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</row>
    <row r="1464" spans="1:35" ht="15.7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</row>
    <row r="1465" spans="1:35" ht="15.7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</row>
    <row r="1466" spans="1:35" ht="15.7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</row>
    <row r="1467" spans="1:35" ht="15.7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</row>
    <row r="1468" spans="1:35" ht="15.7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</row>
    <row r="1469" spans="1:35" ht="15.7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</row>
    <row r="1470" spans="1:35" ht="15.7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</row>
    <row r="1471" spans="1:35" ht="15.7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</row>
    <row r="1472" spans="1:35" ht="15.7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</row>
    <row r="1473" spans="1:35" ht="15.7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</row>
    <row r="1474" spans="1:35" ht="15.7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</row>
    <row r="1475" spans="1:35" ht="15.7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</row>
    <row r="1476" spans="1:35" ht="15.7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</row>
    <row r="1477" spans="1:35" ht="15.7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84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N28"/>
  <sheetViews>
    <sheetView zoomScale="75" zoomScaleNormal="75" workbookViewId="0">
      <selection activeCell="I15" sqref="I15"/>
    </sheetView>
  </sheetViews>
  <sheetFormatPr defaultRowHeight="15"/>
  <cols>
    <col min="1" max="1" width="38.85546875" customWidth="1"/>
    <col min="2" max="2" width="13.28515625" hidden="1" customWidth="1"/>
    <col min="3" max="3" width="15.42578125" hidden="1" customWidth="1"/>
    <col min="4" max="4" width="23" customWidth="1"/>
    <col min="5" max="5" width="21.5703125" customWidth="1"/>
    <col min="6" max="6" width="24.5703125" customWidth="1"/>
    <col min="7" max="7" width="42.140625" customWidth="1"/>
    <col min="8" max="8" width="13.5703125" customWidth="1"/>
    <col min="9" max="9" width="10.28515625" customWidth="1"/>
    <col min="10" max="10" width="10.5703125" bestFit="1" customWidth="1"/>
  </cols>
  <sheetData>
    <row r="1" spans="1:14" ht="39" customHeight="1">
      <c r="A1" s="66" t="s">
        <v>83</v>
      </c>
      <c r="B1" s="66"/>
      <c r="C1" s="66"/>
      <c r="D1" s="66"/>
      <c r="E1" s="66"/>
      <c r="F1" s="66"/>
      <c r="G1" s="18"/>
      <c r="H1" s="18"/>
    </row>
    <row r="2" spans="1:14" s="19" customFormat="1" ht="75">
      <c r="A2" s="125"/>
      <c r="B2" s="126" t="s">
        <v>63</v>
      </c>
      <c r="C2" s="126" t="s">
        <v>64</v>
      </c>
      <c r="D2" s="127" t="s">
        <v>76</v>
      </c>
      <c r="E2" s="127" t="s">
        <v>84</v>
      </c>
      <c r="F2" s="127" t="s">
        <v>85</v>
      </c>
    </row>
    <row r="3" spans="1:14">
      <c r="A3" s="51" t="s">
        <v>65</v>
      </c>
      <c r="B3" s="51"/>
      <c r="C3" s="51">
        <v>3982</v>
      </c>
      <c r="D3" s="51">
        <v>7.242</v>
      </c>
      <c r="E3" s="128"/>
      <c r="F3" s="129">
        <v>4531.9849999999997</v>
      </c>
      <c r="G3" s="41"/>
      <c r="H3" s="41"/>
      <c r="I3" s="41"/>
      <c r="J3" s="41"/>
      <c r="K3" s="41"/>
      <c r="L3" s="41"/>
      <c r="M3" s="41"/>
      <c r="N3" s="41"/>
    </row>
    <row r="4" spans="1:14" ht="26.25">
      <c r="A4" s="51" t="s">
        <v>66</v>
      </c>
      <c r="B4" s="51"/>
      <c r="C4" s="51">
        <v>3535</v>
      </c>
      <c r="D4" s="51">
        <v>1.2410000000000001</v>
      </c>
      <c r="E4" s="128"/>
      <c r="F4" s="129">
        <v>776.6</v>
      </c>
      <c r="G4" s="42"/>
      <c r="H4" s="43"/>
      <c r="I4" s="41"/>
      <c r="J4" s="43"/>
      <c r="K4" s="41"/>
      <c r="L4" s="41"/>
      <c r="M4" s="41"/>
      <c r="N4" s="41"/>
    </row>
    <row r="5" spans="1:14" ht="26.25">
      <c r="A5" s="51" t="s">
        <v>67</v>
      </c>
      <c r="B5" s="51"/>
      <c r="C5" s="51">
        <v>4219</v>
      </c>
      <c r="D5" s="51">
        <v>1.198</v>
      </c>
      <c r="E5" s="128"/>
      <c r="F5" s="129">
        <v>749.7</v>
      </c>
      <c r="G5" s="42"/>
      <c r="H5" s="43"/>
      <c r="I5" s="41"/>
      <c r="J5" s="43"/>
      <c r="K5" s="41"/>
      <c r="L5" s="41"/>
      <c r="M5" s="41"/>
      <c r="N5" s="41"/>
    </row>
    <row r="6" spans="1:14" ht="26.25">
      <c r="A6" s="51" t="s">
        <v>68</v>
      </c>
      <c r="B6" s="51"/>
      <c r="C6" s="51">
        <v>1831</v>
      </c>
      <c r="D6" s="51">
        <v>1.167</v>
      </c>
      <c r="E6" s="128"/>
      <c r="F6" s="129">
        <v>730.3</v>
      </c>
      <c r="G6" s="42"/>
      <c r="H6" s="43"/>
      <c r="I6" s="41"/>
      <c r="J6" s="43"/>
      <c r="K6" s="41"/>
      <c r="L6" s="41"/>
      <c r="M6" s="41"/>
      <c r="N6" s="41"/>
    </row>
    <row r="7" spans="1:14" ht="26.25">
      <c r="A7" s="51" t="s">
        <v>69</v>
      </c>
      <c r="B7" s="51"/>
      <c r="C7" s="51">
        <v>3214</v>
      </c>
      <c r="D7" s="51">
        <v>2.8340000000000001</v>
      </c>
      <c r="E7" s="128"/>
      <c r="F7" s="129">
        <v>1773.5</v>
      </c>
      <c r="G7" s="42"/>
      <c r="H7" s="43"/>
      <c r="I7" s="41"/>
      <c r="J7" s="43"/>
      <c r="K7" s="41"/>
      <c r="L7" s="41"/>
      <c r="M7" s="41"/>
      <c r="N7" s="41"/>
    </row>
    <row r="8" spans="1:14" s="20" customFormat="1" ht="26.25">
      <c r="A8" s="51" t="s">
        <v>70</v>
      </c>
      <c r="B8" s="128">
        <v>16511</v>
      </c>
      <c r="C8" s="128">
        <f>SUM(C3:C7)</f>
        <v>16781</v>
      </c>
      <c r="D8" s="53">
        <v>1.825</v>
      </c>
      <c r="E8" s="130"/>
      <c r="F8" s="129">
        <v>1142.07</v>
      </c>
      <c r="G8" s="42"/>
      <c r="H8" s="43"/>
      <c r="I8" s="44"/>
      <c r="J8" s="43"/>
      <c r="K8" s="44"/>
      <c r="L8" s="44"/>
      <c r="M8" s="44"/>
      <c r="N8" s="44"/>
    </row>
    <row r="9" spans="1:14" s="20" customFormat="1" ht="14.25">
      <c r="A9" s="51"/>
      <c r="B9" s="128">
        <v>8765</v>
      </c>
      <c r="C9" s="128"/>
      <c r="D9" s="128"/>
      <c r="E9" s="130"/>
      <c r="F9" s="131"/>
      <c r="G9" s="44"/>
      <c r="H9" s="44"/>
      <c r="I9" s="44"/>
      <c r="J9" s="44"/>
      <c r="K9" s="44"/>
      <c r="L9" s="44"/>
      <c r="M9" s="44"/>
      <c r="N9" s="44"/>
    </row>
    <row r="10" spans="1:14" s="20" customFormat="1" ht="12.75">
      <c r="A10" s="128" t="s">
        <v>71</v>
      </c>
      <c r="B10" s="128">
        <f>SUM(B8:B9)</f>
        <v>25276</v>
      </c>
      <c r="C10" s="128"/>
      <c r="D10" s="128">
        <f>D8+D7+D6+D5+D4+D3</f>
        <v>15.506999999999998</v>
      </c>
      <c r="E10" s="132">
        <v>9707.4</v>
      </c>
      <c r="F10" s="132">
        <f>F3+F4+F5+F6+F7+F8</f>
        <v>9704.1549999999988</v>
      </c>
      <c r="G10" s="21"/>
      <c r="H10" s="21"/>
    </row>
    <row r="11" spans="1:14" ht="24" customHeight="1">
      <c r="A11" s="46"/>
      <c r="B11" s="46"/>
      <c r="C11" s="46"/>
      <c r="D11" s="46"/>
      <c r="E11" s="46"/>
      <c r="F11" s="46"/>
    </row>
    <row r="12" spans="1:14" ht="24" customHeight="1">
      <c r="A12" s="46"/>
      <c r="B12" s="46"/>
      <c r="C12" s="46"/>
      <c r="D12" s="46"/>
      <c r="E12" s="46"/>
      <c r="F12" s="46"/>
    </row>
    <row r="13" spans="1:14" ht="54" customHeight="1">
      <c r="A13" s="133" t="s">
        <v>86</v>
      </c>
      <c r="B13" s="134"/>
      <c r="C13" s="134"/>
      <c r="D13" s="134"/>
      <c r="E13" s="134"/>
      <c r="F13" s="134"/>
      <c r="J13" s="40"/>
    </row>
    <row r="14" spans="1:14" ht="24" customHeight="1">
      <c r="A14" s="46"/>
      <c r="B14" s="46"/>
      <c r="C14" s="46"/>
      <c r="D14" s="46"/>
      <c r="E14" s="46"/>
      <c r="F14" s="46"/>
    </row>
    <row r="15" spans="1:14" ht="24" customHeight="1">
      <c r="A15" s="46"/>
      <c r="B15" s="46"/>
      <c r="C15" s="46"/>
      <c r="D15" s="46"/>
      <c r="E15" s="46"/>
      <c r="F15" s="46"/>
    </row>
    <row r="16" spans="1:14" ht="24" customHeight="1">
      <c r="A16" s="46"/>
      <c r="B16" s="46"/>
      <c r="C16" s="46"/>
      <c r="D16" s="46"/>
      <c r="E16" s="46"/>
      <c r="F16" s="135"/>
      <c r="G16" s="45"/>
      <c r="I16" s="23"/>
    </row>
    <row r="17" spans="1:9" ht="24" customHeight="1">
      <c r="A17" s="46"/>
      <c r="F17" s="45"/>
      <c r="G17" s="45"/>
      <c r="I17" s="23"/>
    </row>
    <row r="18" spans="1:9" ht="24" customHeight="1">
      <c r="A18" s="46"/>
      <c r="F18" s="45"/>
      <c r="G18" s="45"/>
      <c r="I18" s="23"/>
    </row>
    <row r="19" spans="1:9" ht="24" customHeight="1">
      <c r="A19" s="46"/>
      <c r="F19" s="45"/>
      <c r="G19" s="45"/>
      <c r="I19" s="23"/>
    </row>
    <row r="20" spans="1:9" ht="24" customHeight="1">
      <c r="A20" s="46"/>
      <c r="F20" s="45"/>
      <c r="G20" s="45"/>
      <c r="I20" s="23"/>
    </row>
    <row r="21" spans="1:9" ht="24" customHeight="1">
      <c r="A21" s="46"/>
      <c r="F21" s="45"/>
      <c r="G21" s="45"/>
      <c r="I21" s="23"/>
    </row>
    <row r="22" spans="1:9" ht="24" customHeight="1">
      <c r="A22" s="46"/>
      <c r="I22" s="23"/>
    </row>
    <row r="23" spans="1:9" ht="24" customHeight="1">
      <c r="F23" s="45"/>
      <c r="G23" s="45"/>
      <c r="I23" s="23"/>
    </row>
    <row r="24" spans="1:9" ht="24" customHeight="1"/>
    <row r="25" spans="1:9" ht="24" customHeight="1"/>
    <row r="26" spans="1:9" ht="24" customHeight="1"/>
    <row r="27" spans="1:9" ht="24" customHeight="1"/>
    <row r="28" spans="1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2024-10-28T09:52:13Z</cp:lastPrinted>
  <dcterms:created xsi:type="dcterms:W3CDTF">2011-06-06T14:53:40Z</dcterms:created>
  <dcterms:modified xsi:type="dcterms:W3CDTF">2024-10-28T09:52:18Z</dcterms:modified>
</cp:coreProperties>
</file>